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F:\LOU_OperationsDept\AFFORDABILITY SPREADSHEET MASTER COPIES\AFFORDABILITY CALCULATOR MASTER COPIES TAX YR. 2024-25\Dividend changes 10th April 2024\"/>
    </mc:Choice>
  </mc:AlternateContent>
  <xr:revisionPtr revIDLastSave="0" documentId="8_{7B8BD0ED-21FC-45DB-BF5E-258E5D0E2685}" xr6:coauthVersionLast="47" xr6:coauthVersionMax="47" xr10:uidLastSave="{00000000-0000-0000-0000-000000000000}"/>
  <bookViews>
    <workbookView xWindow="-108" yWindow="-108" windowWidth="23256" windowHeight="12720" xr2:uid="{00000000-000D-0000-FFFF-FFFF00000000}"/>
  </bookViews>
  <sheets>
    <sheet name="Income" sheetId="9" r:id="rId1"/>
    <sheet name="Affordability" sheetId="1" r:id="rId2"/>
    <sheet name="Help Notes" sheetId="8" r:id="rId3"/>
  </sheets>
  <definedNames>
    <definedName name="Content">#REF!</definedName>
    <definedName name="_xlnm.Print_Area" localSheetId="1">Affordability!$A$1:$AA$123</definedName>
    <definedName name="_xlnm.Print_Area" localSheetId="0">Income!$A$1:$I$87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K71" i="9"/>
  <c r="K70" i="9"/>
  <c r="K69" i="9"/>
  <c r="K68" i="9"/>
  <c r="K67" i="9"/>
  <c r="K66" i="9"/>
  <c r="K65" i="9"/>
  <c r="J71" i="9"/>
  <c r="J70" i="9"/>
  <c r="J69" i="9"/>
  <c r="J68" i="9"/>
  <c r="J67" i="9"/>
  <c r="J66" i="9"/>
  <c r="J65" i="9"/>
  <c r="D17" i="1"/>
  <c r="D16" i="1"/>
  <c r="D15" i="1"/>
  <c r="D14" i="1"/>
  <c r="G74" i="9"/>
  <c r="AM69" i="1"/>
  <c r="AK69" i="1"/>
  <c r="AM70" i="1" s="1"/>
  <c r="O16" i="9" l="1"/>
  <c r="AD44" i="9"/>
  <c r="X44" i="9"/>
  <c r="AD43" i="9"/>
  <c r="X43" i="9"/>
  <c r="AD42" i="9"/>
  <c r="X42" i="9"/>
  <c r="AC41" i="9"/>
  <c r="AE41" i="9" s="1"/>
  <c r="W41" i="9"/>
  <c r="Y41" i="9" s="1"/>
  <c r="AD36" i="9"/>
  <c r="X36" i="9"/>
  <c r="AD35" i="9"/>
  <c r="X35" i="9"/>
  <c r="AD34" i="9"/>
  <c r="X34" i="9"/>
  <c r="AC30" i="9"/>
  <c r="W30" i="9"/>
  <c r="H35" i="1"/>
  <c r="AF71" i="1" l="1"/>
  <c r="B79" i="1"/>
  <c r="AF72" i="1"/>
  <c r="I72" i="1" s="1"/>
  <c r="AF73" i="1"/>
  <c r="AF74" i="1"/>
  <c r="AF75" i="1"/>
  <c r="AF76" i="1"/>
  <c r="AF77" i="1"/>
  <c r="AF78" i="1"/>
  <c r="F115" i="1"/>
  <c r="F107" i="1"/>
  <c r="F103" i="1"/>
  <c r="I112" i="1"/>
  <c r="I105" i="1"/>
  <c r="T46" i="1" l="1"/>
  <c r="T45" i="1"/>
  <c r="K43" i="1" l="1"/>
  <c r="K42" i="1"/>
  <c r="F25" i="1"/>
  <c r="T72" i="1" l="1"/>
  <c r="T73" i="1"/>
  <c r="T74" i="1"/>
  <c r="T75" i="1"/>
  <c r="T76" i="1"/>
  <c r="T77" i="1"/>
  <c r="T78" i="1"/>
  <c r="T71" i="1"/>
  <c r="AB87" i="1"/>
  <c r="AB89" i="1" s="1"/>
  <c r="AD90" i="1" s="1"/>
  <c r="T80" i="1" l="1"/>
  <c r="I81" i="1" s="1"/>
  <c r="AF79" i="1"/>
  <c r="A122" i="1" l="1"/>
  <c r="F113" i="1"/>
  <c r="A113" i="1"/>
  <c r="F106" i="1"/>
  <c r="A106" i="1"/>
  <c r="D106" i="1"/>
  <c r="I113" i="1"/>
  <c r="D113" i="1"/>
  <c r="I106" i="1"/>
  <c r="A99" i="1"/>
  <c r="J97" i="1"/>
  <c r="H5" i="1"/>
  <c r="M132" i="1"/>
  <c r="O90" i="9" s="1"/>
  <c r="Q93" i="9"/>
  <c r="D29" i="1"/>
  <c r="P48" i="1"/>
  <c r="P46" i="1"/>
  <c r="P45" i="1"/>
  <c r="Q18" i="9"/>
  <c r="P20" i="1"/>
  <c r="P24" i="1" s="1"/>
  <c r="P19" i="1"/>
  <c r="P23" i="1" s="1"/>
  <c r="D18" i="1"/>
  <c r="K18" i="1" s="1"/>
  <c r="K16" i="1"/>
  <c r="F11" i="1"/>
  <c r="K73" i="9"/>
  <c r="J73" i="9"/>
  <c r="K72" i="9"/>
  <c r="J72" i="9"/>
  <c r="H60" i="9"/>
  <c r="F12" i="1" s="1"/>
  <c r="K56" i="9"/>
  <c r="J56" i="9"/>
  <c r="K55" i="9"/>
  <c r="J55" i="9"/>
  <c r="K52" i="9"/>
  <c r="J52" i="9"/>
  <c r="K51" i="9"/>
  <c r="J51" i="9"/>
  <c r="K50" i="9"/>
  <c r="J50" i="9"/>
  <c r="K47" i="9"/>
  <c r="J47" i="9"/>
  <c r="K46" i="9"/>
  <c r="J46" i="9"/>
  <c r="K45" i="9"/>
  <c r="J45" i="9"/>
  <c r="K44" i="9"/>
  <c r="J44" i="9"/>
  <c r="K43" i="9"/>
  <c r="J43" i="9"/>
  <c r="K41" i="9"/>
  <c r="J41" i="9"/>
  <c r="K40" i="9"/>
  <c r="J40" i="9"/>
  <c r="K39" i="9"/>
  <c r="J39" i="9"/>
  <c r="K38" i="9"/>
  <c r="J38" i="9"/>
  <c r="K37" i="9"/>
  <c r="J37" i="9"/>
  <c r="K36" i="9"/>
  <c r="J36" i="9"/>
  <c r="K35" i="9"/>
  <c r="J35" i="9"/>
  <c r="K34" i="9"/>
  <c r="J34" i="9"/>
  <c r="K32" i="9"/>
  <c r="J32" i="9"/>
  <c r="K31" i="9"/>
  <c r="J31" i="9"/>
  <c r="K30" i="9"/>
  <c r="J30" i="9"/>
  <c r="K29" i="9"/>
  <c r="J29" i="9"/>
  <c r="K28" i="9"/>
  <c r="J28" i="9"/>
  <c r="K27" i="9"/>
  <c r="J27" i="9"/>
  <c r="K26" i="9"/>
  <c r="J26" i="9"/>
  <c r="K25" i="9"/>
  <c r="J25" i="9"/>
  <c r="K24" i="9"/>
  <c r="J24" i="9"/>
  <c r="K23" i="9"/>
  <c r="J23" i="9"/>
  <c r="K22" i="9"/>
  <c r="J22" i="9"/>
  <c r="K21" i="9"/>
  <c r="J21" i="9"/>
  <c r="Q136" i="1"/>
  <c r="K33" i="1"/>
  <c r="K32" i="1"/>
  <c r="AU18" i="1"/>
  <c r="L78" i="1"/>
  <c r="M78" i="1" s="1"/>
  <c r="AG78" i="1" s="1"/>
  <c r="I78" i="1" s="1"/>
  <c r="K78" i="1"/>
  <c r="L77" i="1"/>
  <c r="K77" i="1"/>
  <c r="L76" i="1"/>
  <c r="K76" i="1"/>
  <c r="L75" i="1"/>
  <c r="K75" i="1"/>
  <c r="L74" i="1"/>
  <c r="K74" i="1"/>
  <c r="L73" i="1"/>
  <c r="K73" i="1"/>
  <c r="L72" i="1"/>
  <c r="M72" i="1" s="1"/>
  <c r="AG72" i="1" s="1"/>
  <c r="K72" i="1"/>
  <c r="K71" i="1"/>
  <c r="L71" i="1"/>
  <c r="AK57" i="1"/>
  <c r="AK47" i="1"/>
  <c r="AN53" i="1"/>
  <c r="AA47" i="1"/>
  <c r="Z47" i="1"/>
  <c r="AK64" i="1"/>
  <c r="AN63" i="1"/>
  <c r="AN62" i="1"/>
  <c r="AN61" i="1"/>
  <c r="AN60" i="1"/>
  <c r="AN56" i="1"/>
  <c r="AN55" i="1"/>
  <c r="AN54" i="1"/>
  <c r="AN52" i="1"/>
  <c r="AE42" i="1"/>
  <c r="AN44" i="1"/>
  <c r="AE40" i="1" s="1"/>
  <c r="AN45" i="1"/>
  <c r="AE39" i="1" s="1"/>
  <c r="AN46" i="1"/>
  <c r="AE41" i="1" s="1"/>
  <c r="D41" i="1" s="1"/>
  <c r="K41" i="1" s="1"/>
  <c r="AN43" i="1"/>
  <c r="AE38" i="1" s="1"/>
  <c r="AU17" i="1"/>
  <c r="AL37" i="1"/>
  <c r="AM37" i="1"/>
  <c r="AN37" i="1"/>
  <c r="AO37" i="1"/>
  <c r="AP37" i="1"/>
  <c r="AQ37" i="1"/>
  <c r="AR37" i="1"/>
  <c r="AS37" i="1"/>
  <c r="AT37" i="1"/>
  <c r="AL38" i="1"/>
  <c r="AM38" i="1"/>
  <c r="AN38" i="1"/>
  <c r="AO38" i="1"/>
  <c r="AP38" i="1"/>
  <c r="AQ38" i="1"/>
  <c r="AR38" i="1"/>
  <c r="AS38" i="1"/>
  <c r="AT38" i="1"/>
  <c r="AU24" i="1"/>
  <c r="AU25" i="1"/>
  <c r="U71" i="1"/>
  <c r="X71" i="1" s="1"/>
  <c r="U72" i="1"/>
  <c r="X72" i="1" s="1"/>
  <c r="K27" i="1"/>
  <c r="AL30" i="1"/>
  <c r="AM30" i="1"/>
  <c r="AN30" i="1"/>
  <c r="AO30" i="1"/>
  <c r="AP30" i="1"/>
  <c r="AQ30" i="1"/>
  <c r="AR30" i="1"/>
  <c r="AS30" i="1"/>
  <c r="AT30" i="1"/>
  <c r="AL31" i="1"/>
  <c r="AM31" i="1"/>
  <c r="AN31" i="1"/>
  <c r="AO31" i="1"/>
  <c r="AP31" i="1"/>
  <c r="AQ31" i="1"/>
  <c r="AR31" i="1"/>
  <c r="AS31" i="1"/>
  <c r="AT31" i="1"/>
  <c r="AL32" i="1"/>
  <c r="AM32" i="1"/>
  <c r="AN32" i="1"/>
  <c r="AO32" i="1"/>
  <c r="AP32" i="1"/>
  <c r="AQ32" i="1"/>
  <c r="AR32" i="1"/>
  <c r="AS32" i="1"/>
  <c r="AT32" i="1"/>
  <c r="AL33" i="1"/>
  <c r="AM33" i="1"/>
  <c r="AN33" i="1"/>
  <c r="AO33" i="1"/>
  <c r="AP33" i="1"/>
  <c r="AQ33" i="1"/>
  <c r="AR33" i="1"/>
  <c r="AS33" i="1"/>
  <c r="AT33" i="1"/>
  <c r="AL34" i="1"/>
  <c r="AM34" i="1"/>
  <c r="AN34" i="1"/>
  <c r="AO34" i="1"/>
  <c r="AP34" i="1"/>
  <c r="AQ34" i="1"/>
  <c r="AR34" i="1"/>
  <c r="AS34" i="1"/>
  <c r="AT34" i="1"/>
  <c r="AL35" i="1"/>
  <c r="AM35" i="1"/>
  <c r="AN35" i="1"/>
  <c r="AO35" i="1"/>
  <c r="AP35" i="1"/>
  <c r="AQ35" i="1"/>
  <c r="AR35" i="1"/>
  <c r="AS35" i="1"/>
  <c r="AT35" i="1"/>
  <c r="AL36" i="1"/>
  <c r="AM36" i="1"/>
  <c r="AN36" i="1"/>
  <c r="AO36" i="1"/>
  <c r="AP36" i="1"/>
  <c r="AQ36" i="1"/>
  <c r="AR36" i="1"/>
  <c r="AS36" i="1"/>
  <c r="AT36" i="1"/>
  <c r="K28" i="1"/>
  <c r="K30" i="1"/>
  <c r="K31" i="1"/>
  <c r="K39" i="1"/>
  <c r="K40" i="1"/>
  <c r="K48" i="1"/>
  <c r="K54" i="1"/>
  <c r="K56" i="1"/>
  <c r="K57" i="1"/>
  <c r="K60" i="1"/>
  <c r="U73" i="1"/>
  <c r="X73" i="1" s="1"/>
  <c r="U74" i="1"/>
  <c r="X74" i="1" s="1"/>
  <c r="U75" i="1"/>
  <c r="X75" i="1" s="1"/>
  <c r="U76" i="1"/>
  <c r="X76" i="1" s="1"/>
  <c r="U77" i="1"/>
  <c r="X77" i="1" s="1"/>
  <c r="U78" i="1"/>
  <c r="X78" i="1" s="1"/>
  <c r="M85" i="1"/>
  <c r="M87" i="1" s="1"/>
  <c r="M86" i="1"/>
  <c r="AE60" i="1"/>
  <c r="AE57" i="1"/>
  <c r="AE56" i="1"/>
  <c r="AE54" i="1"/>
  <c r="AE48" i="1"/>
  <c r="AE43" i="1"/>
  <c r="AU19" i="1"/>
  <c r="AU20" i="1"/>
  <c r="AU21" i="1"/>
  <c r="AU22" i="1"/>
  <c r="AU23" i="1"/>
  <c r="AE55" i="1"/>
  <c r="D55" i="1" s="1"/>
  <c r="K14" i="1"/>
  <c r="S124" i="1" l="1"/>
  <c r="D38" i="1"/>
  <c r="K38" i="1" s="1"/>
  <c r="AC18" i="9"/>
  <c r="AC17" i="9"/>
  <c r="AC36" i="9" s="1"/>
  <c r="AE36" i="9" s="1"/>
  <c r="Q40" i="9" s="1"/>
  <c r="Q26" i="9"/>
  <c r="S74" i="9" s="1"/>
  <c r="O26" i="9"/>
  <c r="Q74" i="9" s="1"/>
  <c r="W18" i="9"/>
  <c r="W17" i="9"/>
  <c r="W19" i="9" s="1"/>
  <c r="O49" i="9"/>
  <c r="K17" i="1"/>
  <c r="Q49" i="9"/>
  <c r="Q22" i="9"/>
  <c r="Q24" i="9" s="1"/>
  <c r="O99" i="9"/>
  <c r="O81" i="9" s="1"/>
  <c r="Q99" i="9"/>
  <c r="Q81" i="9" s="1"/>
  <c r="M71" i="1"/>
  <c r="AG71" i="1" s="1"/>
  <c r="I71" i="1" s="1"/>
  <c r="P71" i="1"/>
  <c r="M73" i="1"/>
  <c r="M76" i="1"/>
  <c r="M77" i="1"/>
  <c r="AC104" i="1"/>
  <c r="M75" i="1"/>
  <c r="AG75" i="1" s="1"/>
  <c r="I75" i="1" s="1"/>
  <c r="M74" i="1"/>
  <c r="AG74" i="1" s="1"/>
  <c r="I74" i="1" s="1"/>
  <c r="O22" i="9"/>
  <c r="K55" i="1"/>
  <c r="Q75" i="1"/>
  <c r="AH75" i="1" s="1"/>
  <c r="P75" i="1"/>
  <c r="AI75" i="1"/>
  <c r="AI76" i="1"/>
  <c r="Q76" i="1"/>
  <c r="AH76" i="1" s="1"/>
  <c r="Y76" i="1" s="1"/>
  <c r="P76" i="1"/>
  <c r="AI78" i="1"/>
  <c r="Q78" i="1"/>
  <c r="AH78" i="1" s="1"/>
  <c r="P78" i="1"/>
  <c r="AI73" i="1"/>
  <c r="Q73" i="1"/>
  <c r="AH73" i="1" s="1"/>
  <c r="P73" i="1"/>
  <c r="AI77" i="1"/>
  <c r="P77" i="1"/>
  <c r="Q77" i="1"/>
  <c r="AH77" i="1" s="1"/>
  <c r="AU36" i="1"/>
  <c r="AH12" i="1"/>
  <c r="AH13" i="1" s="1"/>
  <c r="AG15" i="1" s="1"/>
  <c r="AH15" i="1" s="1"/>
  <c r="AI74" i="1"/>
  <c r="Q74" i="1"/>
  <c r="AH74" i="1" s="1"/>
  <c r="P74" i="1"/>
  <c r="AI72" i="1"/>
  <c r="Y72" i="1" s="1"/>
  <c r="Q72" i="1"/>
  <c r="AH72" i="1" s="1"/>
  <c r="P72" i="1"/>
  <c r="AI71" i="1"/>
  <c r="Q71" i="1"/>
  <c r="AH71" i="1" s="1"/>
  <c r="Y71" i="1" s="1"/>
  <c r="K29" i="1"/>
  <c r="K19" i="1"/>
  <c r="AN47" i="1"/>
  <c r="AU35" i="1"/>
  <c r="AU31" i="1"/>
  <c r="P47" i="1"/>
  <c r="K15" i="1"/>
  <c r="AU30" i="1"/>
  <c r="AU38" i="1"/>
  <c r="AU37" i="1"/>
  <c r="AN57" i="1"/>
  <c r="AE45" i="1" s="1"/>
  <c r="AN64" i="1"/>
  <c r="AE47" i="1" s="1"/>
  <c r="T50" i="1" s="1"/>
  <c r="T54" i="1" s="1"/>
  <c r="D47" i="1" s="1"/>
  <c r="AU34" i="1"/>
  <c r="AU33" i="1"/>
  <c r="AU32" i="1"/>
  <c r="P25" i="1"/>
  <c r="V22" i="1" s="1"/>
  <c r="AC19" i="9" l="1"/>
  <c r="AC28" i="9" s="1"/>
  <c r="AC29" i="9" s="1"/>
  <c r="AC33" i="9" s="1"/>
  <c r="O24" i="9"/>
  <c r="O36" i="9" s="1"/>
  <c r="W36" i="9"/>
  <c r="Y36" i="9" s="1"/>
  <c r="O40" i="9" s="1"/>
  <c r="W28" i="9"/>
  <c r="W29" i="9" s="1"/>
  <c r="W33" i="9" s="1"/>
  <c r="O83" i="9"/>
  <c r="O93" i="9" s="1"/>
  <c r="N95" i="9"/>
  <c r="A101" i="1" s="1"/>
  <c r="T49" i="1"/>
  <c r="T53" i="1" s="1"/>
  <c r="D45" i="1" s="1"/>
  <c r="K45" i="1" s="1"/>
  <c r="AC97" i="1"/>
  <c r="Y75" i="1"/>
  <c r="Y78" i="1"/>
  <c r="Y74" i="1"/>
  <c r="Y77" i="1"/>
  <c r="AG77" i="1"/>
  <c r="AC101" i="1"/>
  <c r="AG76" i="1"/>
  <c r="I76" i="1" s="1"/>
  <c r="Y73" i="1"/>
  <c r="AC98" i="1"/>
  <c r="AG73" i="1"/>
  <c r="O75" i="1"/>
  <c r="N75" i="1" s="1"/>
  <c r="AJ75" i="1" s="1"/>
  <c r="AC100" i="1"/>
  <c r="K47" i="1"/>
  <c r="AE37" i="1"/>
  <c r="D37" i="1" s="1"/>
  <c r="K37" i="1" s="1"/>
  <c r="AE44" i="1"/>
  <c r="D44" i="1" s="1"/>
  <c r="K44" i="1" s="1"/>
  <c r="AD104" i="1"/>
  <c r="AD103" i="1"/>
  <c r="AD100" i="1"/>
  <c r="AD99" i="1"/>
  <c r="AD98" i="1"/>
  <c r="AD102" i="1"/>
  <c r="AD101" i="1"/>
  <c r="AH79" i="1"/>
  <c r="AI79" i="1"/>
  <c r="D107" i="1" s="1"/>
  <c r="D108" i="1" s="1"/>
  <c r="AD97" i="1"/>
  <c r="AE46" i="1"/>
  <c r="D46" i="1" s="1"/>
  <c r="S75" i="1"/>
  <c r="AD75" i="1" s="1"/>
  <c r="AE53" i="1"/>
  <c r="D53" i="1" s="1"/>
  <c r="AC36" i="1"/>
  <c r="H36" i="1" s="1"/>
  <c r="O74" i="1"/>
  <c r="N74" i="1" s="1"/>
  <c r="AJ74" i="1" s="1"/>
  <c r="R74" i="1"/>
  <c r="AC74" i="1" s="1"/>
  <c r="S74" i="1"/>
  <c r="AD74" i="1" s="1"/>
  <c r="AE58" i="1"/>
  <c r="D58" i="1" s="1"/>
  <c r="AE59" i="1"/>
  <c r="D59" i="1" s="1"/>
  <c r="O72" i="1"/>
  <c r="S72" i="1"/>
  <c r="R72" i="1"/>
  <c r="Q35" i="9"/>
  <c r="S70" i="9"/>
  <c r="Q36" i="9"/>
  <c r="Q70" i="9" l="1"/>
  <c r="O35" i="9"/>
  <c r="O46" i="9" s="1"/>
  <c r="AC40" i="9"/>
  <c r="AE40" i="9" s="1"/>
  <c r="W40" i="9"/>
  <c r="Y40" i="9" s="1"/>
  <c r="AE33" i="9"/>
  <c r="AC34" i="9"/>
  <c r="AE34" i="9" s="1"/>
  <c r="Q38" i="9" s="1"/>
  <c r="Y33" i="9"/>
  <c r="W34" i="9"/>
  <c r="Y34" i="9" s="1"/>
  <c r="O38" i="9" s="1"/>
  <c r="K53" i="1"/>
  <c r="K59" i="1"/>
  <c r="K46" i="1"/>
  <c r="K58" i="1"/>
  <c r="O71" i="1"/>
  <c r="N71" i="1" s="1"/>
  <c r="R71" i="1"/>
  <c r="AC71" i="1" s="1"/>
  <c r="S71" i="1"/>
  <c r="AD71" i="1" s="1"/>
  <c r="N72" i="1"/>
  <c r="AJ72" i="1" s="1"/>
  <c r="AM72" i="1" s="1"/>
  <c r="O76" i="1"/>
  <c r="N76" i="1" s="1"/>
  <c r="AJ76" i="1" s="1"/>
  <c r="AM76" i="1" s="1"/>
  <c r="I73" i="1"/>
  <c r="I77" i="1"/>
  <c r="S77" i="1" s="1"/>
  <c r="AD77" i="1" s="1"/>
  <c r="AC103" i="1"/>
  <c r="AC102" i="1"/>
  <c r="AG79" i="1"/>
  <c r="AC99" i="1"/>
  <c r="AM74" i="1"/>
  <c r="AM75" i="1"/>
  <c r="S76" i="1"/>
  <c r="AD76" i="1" s="1"/>
  <c r="R76" i="1"/>
  <c r="AC76" i="1" s="1"/>
  <c r="R75" i="1"/>
  <c r="AC75" i="1" s="1"/>
  <c r="Y79" i="1"/>
  <c r="I107" i="1" s="1"/>
  <c r="AD105" i="1"/>
  <c r="D115" i="1"/>
  <c r="AD72" i="1"/>
  <c r="AC72" i="1"/>
  <c r="O78" i="1"/>
  <c r="R78" i="1"/>
  <c r="AC78" i="1" s="1"/>
  <c r="S78" i="1"/>
  <c r="AD78" i="1" s="1"/>
  <c r="Q46" i="9"/>
  <c r="AC35" i="9" l="1"/>
  <c r="AE35" i="9" s="1"/>
  <c r="Q39" i="9" s="1"/>
  <c r="W35" i="9"/>
  <c r="Y35" i="9" s="1"/>
  <c r="O39" i="9" s="1"/>
  <c r="O47" i="9" s="1"/>
  <c r="AC42" i="9"/>
  <c r="W42" i="9"/>
  <c r="N78" i="1"/>
  <c r="AJ78" i="1" s="1"/>
  <c r="AM78" i="1" s="1"/>
  <c r="AJ71" i="1"/>
  <c r="AM71" i="1" s="1"/>
  <c r="O77" i="1"/>
  <c r="N77" i="1" s="1"/>
  <c r="AJ77" i="1" s="1"/>
  <c r="I79" i="1"/>
  <c r="D101" i="1" s="1"/>
  <c r="M125" i="1" s="1"/>
  <c r="R73" i="1"/>
  <c r="AC73" i="1" s="1"/>
  <c r="R77" i="1"/>
  <c r="AC77" i="1" s="1"/>
  <c r="O73" i="1"/>
  <c r="N73" i="1" s="1"/>
  <c r="AJ73" i="1" s="1"/>
  <c r="AM73" i="1" s="1"/>
  <c r="S73" i="1"/>
  <c r="AD73" i="1" s="1"/>
  <c r="AD79" i="1" s="1"/>
  <c r="AC105" i="1"/>
  <c r="S105" i="1"/>
  <c r="S110" i="1" s="1"/>
  <c r="N100" i="1" s="1"/>
  <c r="N101" i="1" s="1"/>
  <c r="I115" i="1"/>
  <c r="I108" i="1"/>
  <c r="O127" i="1" l="1"/>
  <c r="O124" i="1"/>
  <c r="D122" i="1" s="1"/>
  <c r="Y37" i="9"/>
  <c r="AC37" i="9"/>
  <c r="AE37" i="9"/>
  <c r="Q71" i="9"/>
  <c r="Q72" i="9" s="1"/>
  <c r="W37" i="9"/>
  <c r="AC43" i="9"/>
  <c r="AE42" i="9"/>
  <c r="Y42" i="9"/>
  <c r="W43" i="9"/>
  <c r="E108" i="1"/>
  <c r="J108" i="1"/>
  <c r="S80" i="1"/>
  <c r="R80" i="1"/>
  <c r="AC79" i="1"/>
  <c r="F101" i="1"/>
  <c r="N103" i="1"/>
  <c r="N104" i="1" s="1"/>
  <c r="N106" i="1" s="1"/>
  <c r="N107" i="1" s="1"/>
  <c r="AM77" i="1"/>
  <c r="AM79" i="1" s="1"/>
  <c r="AJ79" i="1"/>
  <c r="Q47" i="9"/>
  <c r="AC44" i="9" l="1"/>
  <c r="AE43" i="9"/>
  <c r="W44" i="9"/>
  <c r="Y43" i="9"/>
  <c r="S71" i="9"/>
  <c r="S72" i="9" s="1"/>
  <c r="AE44" i="9" l="1"/>
  <c r="AE45" i="9" s="1"/>
  <c r="Q48" i="9" s="1"/>
  <c r="AC45" i="9"/>
  <c r="Y44" i="9"/>
  <c r="Y45" i="9" s="1"/>
  <c r="O48" i="9" s="1"/>
  <c r="W45" i="9"/>
  <c r="D85" i="1"/>
  <c r="D62" i="1"/>
  <c r="D64" i="1" s="1"/>
  <c r="AE62" i="1"/>
  <c r="AE64" i="1" s="1"/>
  <c r="S75" i="9" l="1"/>
  <c r="S76" i="9" s="1"/>
  <c r="S78" i="9" s="1"/>
  <c r="Q50" i="9"/>
  <c r="Q53" i="9" s="1"/>
  <c r="Q75" i="9"/>
  <c r="Q76" i="9" s="1"/>
  <c r="Q78" i="9" s="1"/>
  <c r="O50" i="9"/>
  <c r="O53" i="9" s="1"/>
  <c r="O55" i="9" s="1"/>
  <c r="D60" i="9" s="1"/>
  <c r="C11" i="1" s="1"/>
  <c r="K11" i="1" s="1"/>
  <c r="F64" i="1"/>
  <c r="D58" i="9" l="1"/>
  <c r="G58" i="9"/>
  <c r="Q55" i="9"/>
  <c r="G60" i="9" s="1"/>
  <c r="C12" i="1" s="1"/>
  <c r="D13" i="1" l="1"/>
  <c r="K12" i="1"/>
  <c r="D83" i="1" s="1"/>
  <c r="D87" i="1" s="1"/>
  <c r="D91" i="1" s="1"/>
  <c r="D93" i="1" s="1"/>
  <c r="D114" i="1" l="1"/>
  <c r="D116" i="1" s="1"/>
  <c r="E116" i="1" s="1"/>
  <c r="I114" i="1"/>
  <c r="I116" i="1" s="1"/>
  <c r="J1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Rafia Khatun</author>
  </authors>
  <commentList>
    <comment ref="A52" authorId="0" shapeId="0" xr:uid="{F9DFE290-5381-4633-A164-64DEF1938B51}">
      <text>
        <r>
          <rPr>
            <sz val="9"/>
            <color indexed="81"/>
            <rFont val="Tahoma"/>
            <family val="2"/>
          </rPr>
          <t>Only enter deductions to be excluded from gross income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Colin Pytel</author>
  </authors>
  <commentList>
    <comment ref="D22" authorId="0" shapeId="0" xr:uid="{00000000-0006-0000-0100-000001000000}">
      <text>
        <r>
          <rPr>
            <sz val="9"/>
            <color indexed="81"/>
            <rFont val="Tahoma"/>
            <family val="2"/>
          </rPr>
          <t xml:space="preserve">The retirement status of </t>
        </r>
        <r>
          <rPr>
            <b/>
            <u/>
            <sz val="9"/>
            <color indexed="81"/>
            <rFont val="Tahoma"/>
            <family val="2"/>
          </rPr>
          <t>both</t>
        </r>
        <r>
          <rPr>
            <sz val="9"/>
            <color indexed="81"/>
            <rFont val="Tahoma"/>
            <family val="2"/>
          </rPr>
          <t xml:space="preserve"> applicants must be completed to ensure that tax is correctly deducted.  If there is no second applicant "N/A" can be selected.
</t>
        </r>
      </text>
    </comment>
    <comment ref="A32" authorId="0" shapeId="0" xr:uid="{00000000-0006-0000-0100-000002000000}">
      <text>
        <r>
          <rPr>
            <sz val="9"/>
            <color indexed="81"/>
            <rFont val="Tahoma"/>
            <family val="2"/>
          </rPr>
          <t xml:space="preserve">Including Ground Rent &amp; Service Charges.
</t>
        </r>
      </text>
    </comment>
    <comment ref="A33" authorId="0" shapeId="0" xr:uid="{00000000-0006-0000-0100-000003000000}">
      <text>
        <r>
          <rPr>
            <sz val="9"/>
            <color indexed="81"/>
            <rFont val="Tahoma"/>
            <family val="2"/>
          </rPr>
          <t xml:space="preserve">Complete when the customer has an Interest-only mortgage &amp; affordability has not been assessed on a capital &amp; interest basis.
</t>
        </r>
      </text>
    </comment>
    <comment ref="A37" authorId="0" shapeId="0" xr:uid="{00000000-0006-0000-0100-000004000000}">
      <text>
        <r>
          <rPr>
            <sz val="9"/>
            <color indexed="81"/>
            <rFont val="Tahoma"/>
            <family val="2"/>
          </rPr>
          <t xml:space="preserve">Typical weekly/monthly shopping, including alcohol purchased for home consumption.
</t>
        </r>
      </text>
    </comment>
    <comment ref="X39" authorId="0" shapeId="0" xr:uid="{00000000-0006-0000-0100-000005000000}">
      <text>
        <r>
          <rPr>
            <sz val="9"/>
            <color indexed="81"/>
            <rFont val="Tahoma"/>
            <family val="2"/>
          </rPr>
          <t xml:space="preserve">Please note that the ONS data in respect of motor vehicle running costs &amp; public transport is statistical based on an average English household.  In the notes to expenditure please provide any additional supporting information, e.g. Company car, walk to work, two vehicles, etc..
</t>
        </r>
      </text>
    </comment>
    <comment ref="X46" authorId="0" shapeId="0" xr:uid="{00000000-0006-0000-0100-000007000000}">
      <text>
        <r>
          <rPr>
            <sz val="9"/>
            <color indexed="81"/>
            <rFont val="Tahoma"/>
            <family val="2"/>
          </rPr>
          <t xml:space="preserve">Including rail and bus fares, etc.
</t>
        </r>
      </text>
    </comment>
    <comment ref="X70" authorId="0" shapeId="0" xr:uid="{00000000-0006-0000-0100-00000F000000}">
      <text>
        <r>
          <rPr>
            <sz val="9"/>
            <color indexed="81"/>
            <rFont val="Tahoma"/>
            <family val="2"/>
          </rPr>
          <t>The Stress rate is 2% above the pay rate or 5.5%, whichever is the higher.</t>
        </r>
        <r>
          <rPr>
            <sz val="9"/>
            <color indexed="81"/>
            <rFont val="Tahoma"/>
            <family val="2"/>
          </rPr>
          <t xml:space="preserve">
</t>
        </r>
      </text>
    </comment>
    <comment ref="A72" authorId="0" shapeId="0" xr:uid="{7D6466AF-6B26-4E27-A6F9-C40E80041D77}">
      <text>
        <r>
          <rPr>
            <sz val="9"/>
            <color indexed="81"/>
            <rFont val="Tahoma"/>
            <family val="2"/>
          </rPr>
          <t xml:space="preserve">Complete this row if any or all of the new loan is on an Interest-only basis.
</t>
        </r>
      </text>
    </comment>
    <comment ref="V72" authorId="0" shapeId="0" xr:uid="{5BDA2DD5-9DAD-4E87-A546-75AF439970AE}">
      <text>
        <r>
          <rPr>
            <sz val="9"/>
            <color indexed="81"/>
            <rFont val="Tahoma"/>
            <family val="2"/>
          </rPr>
          <t xml:space="preserve">Complete this row if any or all of the new loan is on an Interest-only basis.
</t>
        </r>
      </text>
    </comment>
    <comment ref="P99" authorId="0" shapeId="0" xr:uid="{00000000-0006-0000-0100-000010000000}">
      <text>
        <r>
          <rPr>
            <sz val="9"/>
            <color indexed="81"/>
            <rFont val="Tahoma"/>
            <family val="2"/>
          </rPr>
          <t xml:space="preserve">A minimum of 10% of the expected Gross Monthly Rental Income has been assumed for letting fees.  If greater insert the actual letting fee.  If the applicant does not have to pay management and letting fees click "No" and insert 0.00.
</t>
        </r>
      </text>
    </comment>
    <comment ref="P105" authorId="0" shapeId="0" xr:uid="{00000000-0006-0000-0100-000011000000}">
      <text>
        <r>
          <rPr>
            <sz val="9"/>
            <color indexed="81"/>
            <rFont val="Tahoma"/>
            <family val="2"/>
          </rPr>
          <t xml:space="preserve">2 months Interest-only mortgage payments at the stress rate have been assumed for the void and calculated as a monthly commitment.
</t>
        </r>
      </text>
    </comment>
    <comment ref="D108" authorId="0" shapeId="0" xr:uid="{00000000-0006-0000-0100-000012000000}">
      <text>
        <r>
          <rPr>
            <sz val="9"/>
            <color indexed="81"/>
            <rFont val="Tahoma"/>
            <family val="2"/>
          </rPr>
          <t xml:space="preserve">GROSS rental coverage must be equal to or greater than 130% of the interest-only mortgage payment at the stress rate for BASIC RATE tax payers and 165% for HIGHER RATE tax payers to be acceptable to the Society.  If the GROSS rental coverage is insufficient, GROSS rental plus 90% of net disposable monthly income can be taken into account - see Rental coverage incl. income at stress rate cell.
</t>
        </r>
      </text>
    </comment>
    <comment ref="I108" authorId="0" shapeId="0" xr:uid="{00000000-0006-0000-0100-000013000000}">
      <text>
        <r>
          <rPr>
            <sz val="9"/>
            <color indexed="81"/>
            <rFont val="Tahoma"/>
            <family val="2"/>
          </rPr>
          <t xml:space="preserve">GROSS rental coverage must be equal to or greater than 130% of the capital repayment CMS at the stress rate for BASIC RATE tax payers and 165% for HIGHER RATE tax payers to be acceptable to the Society.  If the GROSS rental coverage is insufficient, GROSS rental plus 90% of net disposable monthly income can be taken into account - see Rental coverage incl. income at stress rate cell.
</t>
        </r>
      </text>
    </comment>
    <comment ref="P108" authorId="0" shapeId="0" xr:uid="{00000000-0006-0000-0100-000014000000}">
      <text>
        <r>
          <rPr>
            <sz val="9"/>
            <color indexed="81"/>
            <rFont val="Tahoma"/>
            <family val="2"/>
          </rPr>
          <t xml:space="preserve">In Wales landlords have to pay a mandatory Online fee of £33.50 or for paper applications £80.50.  In England licence fees may vary by council.
</t>
        </r>
      </text>
    </comment>
    <comment ref="D116" authorId="0" shapeId="0" xr:uid="{00000000-0006-0000-0100-000015000000}">
      <text>
        <r>
          <rPr>
            <sz val="9"/>
            <color indexed="81"/>
            <rFont val="Tahoma"/>
            <family val="2"/>
          </rPr>
          <t xml:space="preserve">Providing GROSS rental coverage plus 90% of their net disposable monthly income is 130% or greater for BASIC rate tax payers and 165% or greater for HIGHER rate tax payers than the interest-only mortgage payment at the stressed rate this is acceptable.  
</t>
        </r>
      </text>
    </comment>
    <comment ref="I116" authorId="0" shapeId="0" xr:uid="{00000000-0006-0000-0100-000016000000}">
      <text>
        <r>
          <rPr>
            <sz val="9"/>
            <color indexed="81"/>
            <rFont val="Tahoma"/>
            <family val="2"/>
          </rPr>
          <t xml:space="preserve">Providing GROSS rental coverage plus 90% of their net disposable monthly income is 130% or greater for BASIC rate tax payers and 165% or greater for HIGHER rate tax payers than the capital repayment CMS at the stressed rate this is acceptable.  
</t>
        </r>
      </text>
    </comment>
    <comment ref="F118" authorId="0" shapeId="0" xr:uid="{00000000-0006-0000-0100-000017000000}">
      <text>
        <r>
          <rPr>
            <sz val="9"/>
            <color indexed="81"/>
            <rFont val="Tahoma"/>
            <family val="2"/>
          </rPr>
          <t xml:space="preserve">BTL's became subject to PRA regulation on 1st January 2017.  BTL's taken out before this date are </t>
        </r>
        <r>
          <rPr>
            <b/>
            <u/>
            <sz val="9"/>
            <color indexed="81"/>
            <rFont val="Tahoma"/>
            <family val="2"/>
          </rPr>
          <t>not</t>
        </r>
        <r>
          <rPr>
            <sz val="9"/>
            <color indexed="81"/>
            <rFont val="Tahoma"/>
            <family val="2"/>
          </rPr>
          <t xml:space="preserve"> subject to this regulation unless there is additional borrowing, however the Society only applies this exclusion to existing LBS BTL's and not remortgage cases which should be assessed in the same way as new BTL mortgages.
</t>
        </r>
      </text>
    </comment>
  </commentList>
</comments>
</file>

<file path=xl/sharedStrings.xml><?xml version="1.0" encoding="utf-8"?>
<sst xmlns="http://schemas.openxmlformats.org/spreadsheetml/2006/main" count="1005" uniqueCount="593">
  <si>
    <t>Applicant 1</t>
  </si>
  <si>
    <t>Applicant 2</t>
  </si>
  <si>
    <t>Child Maintenance</t>
  </si>
  <si>
    <t>Total</t>
  </si>
  <si>
    <t>Council Tax</t>
  </si>
  <si>
    <t>Frequency</t>
  </si>
  <si>
    <t>Annual</t>
  </si>
  <si>
    <t>Totals</t>
  </si>
  <si>
    <t>Monthly</t>
  </si>
  <si>
    <t>Credit Cards</t>
  </si>
  <si>
    <t>Credit Card</t>
  </si>
  <si>
    <t>Balance</t>
  </si>
  <si>
    <t>%</t>
  </si>
  <si>
    <t>B</t>
  </si>
  <si>
    <t>Weekly</t>
  </si>
  <si>
    <t>Net Pay:</t>
  </si>
  <si>
    <t>Term</t>
  </si>
  <si>
    <t>AFFORDABILITY CHECK</t>
  </si>
  <si>
    <t>Applicant Name</t>
  </si>
  <si>
    <t>Account Number</t>
  </si>
  <si>
    <t>INCOME</t>
  </si>
  <si>
    <t>Total Annual Income After Tax</t>
  </si>
  <si>
    <t>Total Annual Spending</t>
  </si>
  <si>
    <t>Total Left Over</t>
  </si>
  <si>
    <t>Half-Yearly</t>
  </si>
  <si>
    <t>Date:</t>
  </si>
  <si>
    <t>Committed Expenditure</t>
  </si>
  <si>
    <t>Loans / HP</t>
  </si>
  <si>
    <t>Basic Essential Expenditure</t>
  </si>
  <si>
    <t>Buildings Insurance</t>
  </si>
  <si>
    <t>Life &amp; Health Assurance</t>
  </si>
  <si>
    <t>Basic Quality of Living Costs</t>
  </si>
  <si>
    <t xml:space="preserve"> </t>
  </si>
  <si>
    <t>Clothing</t>
  </si>
  <si>
    <t>Other</t>
  </si>
  <si>
    <t>Deductions</t>
  </si>
  <si>
    <t>Monthly Net Income</t>
  </si>
  <si>
    <t>% Used</t>
  </si>
  <si>
    <t>Self-employed (Share of Net Profits)</t>
  </si>
  <si>
    <t>Self-employed (Dividends)</t>
  </si>
  <si>
    <t>Guaranteed shift allowance</t>
  </si>
  <si>
    <t>Guaranteed car allowance</t>
  </si>
  <si>
    <t>Regular shift allowance</t>
  </si>
  <si>
    <t>Bursary (evidence required)</t>
  </si>
  <si>
    <t>Regular overtime</t>
  </si>
  <si>
    <t>Basic gross salary</t>
  </si>
  <si>
    <t>Annually</t>
  </si>
  <si>
    <t>Amount</t>
  </si>
  <si>
    <t>Used</t>
  </si>
  <si>
    <t>All Income</t>
  </si>
  <si>
    <t>Tax Code</t>
  </si>
  <si>
    <t>NI Rate (Primary threshold to upper earning limit)</t>
  </si>
  <si>
    <t>NI Rate (Above upper earnings limit)</t>
  </si>
  <si>
    <t>NIC Income Basic</t>
  </si>
  <si>
    <t>NIC Income Higher</t>
  </si>
  <si>
    <t>Tax Income Basic</t>
  </si>
  <si>
    <t>Tax Income Higher</t>
  </si>
  <si>
    <t>Total Deductions</t>
  </si>
  <si>
    <t>Expenditure</t>
  </si>
  <si>
    <t>Housing</t>
  </si>
  <si>
    <t>Comms</t>
  </si>
  <si>
    <t>Health</t>
  </si>
  <si>
    <t>Food</t>
  </si>
  <si>
    <t>Alcohol</t>
  </si>
  <si>
    <t>Recreation</t>
  </si>
  <si>
    <t>Transport</t>
  </si>
  <si>
    <t>Power</t>
  </si>
  <si>
    <t>Number of adults</t>
  </si>
  <si>
    <t>1 adult, 1 child</t>
  </si>
  <si>
    <t>C</t>
  </si>
  <si>
    <t>Number of children</t>
  </si>
  <si>
    <t>Lookup table</t>
  </si>
  <si>
    <t>1 Adult</t>
  </si>
  <si>
    <t>A</t>
  </si>
  <si>
    <t>1 adult, 0 children</t>
  </si>
  <si>
    <t>2 Adults</t>
  </si>
  <si>
    <t>1 Adult 1 Child</t>
  </si>
  <si>
    <t>1 adult, 2 children</t>
  </si>
  <si>
    <t>D</t>
  </si>
  <si>
    <t>1 Adult 2 Childs</t>
  </si>
  <si>
    <t>Communication</t>
  </si>
  <si>
    <t>2 adults, 0 children</t>
  </si>
  <si>
    <t>2 Adults 1 Child</t>
  </si>
  <si>
    <t>E</t>
  </si>
  <si>
    <t>2 adults, 1 child</t>
  </si>
  <si>
    <t>2 Adults 2 Childs</t>
  </si>
  <si>
    <t>F</t>
  </si>
  <si>
    <t>Food/Groceries</t>
  </si>
  <si>
    <t>2 adults, 2 children</t>
  </si>
  <si>
    <t>2 Adults 3 Childs</t>
  </si>
  <si>
    <t>G</t>
  </si>
  <si>
    <t>2 adults, 3 children</t>
  </si>
  <si>
    <t>HOUSEHOLD SIZE</t>
  </si>
  <si>
    <t>Other Income</t>
  </si>
  <si>
    <t>Annual Total</t>
  </si>
  <si>
    <t>Variance</t>
  </si>
  <si>
    <t>Personal Allowance</t>
  </si>
  <si>
    <t>Monthly Total</t>
  </si>
  <si>
    <t>Essential &amp; Quality of Life Monthly Total</t>
  </si>
  <si>
    <t>Essential &amp; Quality of Life Annual Total</t>
  </si>
  <si>
    <t>ONS HOUSEHOLD STATISTICS</t>
  </si>
  <si>
    <t>Actual</t>
  </si>
  <si>
    <t>Stress</t>
  </si>
  <si>
    <t>Month</t>
  </si>
  <si>
    <t>*</t>
  </si>
  <si>
    <t>*N.B. Totals assume Council Tax is paid for 10 months - monthly total includes ten twelfths of the monthly amount</t>
  </si>
  <si>
    <t>1st clause</t>
  </si>
  <si>
    <t>Student loan</t>
  </si>
  <si>
    <t>Childcare vouchers</t>
  </si>
  <si>
    <t>Water</t>
  </si>
  <si>
    <t>Gas</t>
  </si>
  <si>
    <t>Electricity</t>
  </si>
  <si>
    <t>Other Heating</t>
  </si>
  <si>
    <t>Tax Income Highest</t>
  </si>
  <si>
    <t>Household</t>
  </si>
  <si>
    <t>Services</t>
  </si>
  <si>
    <t>Variable</t>
  </si>
  <si>
    <t>1 if fixed</t>
  </si>
  <si>
    <t>1 if 5 year</t>
  </si>
  <si>
    <t>2 if fixed 5yr</t>
  </si>
  <si>
    <t>Household goods &amp; repairs</t>
  </si>
  <si>
    <t>Sub</t>
  </si>
  <si>
    <t>Existing residential mortgage commitment</t>
  </si>
  <si>
    <t>Actual rate</t>
  </si>
  <si>
    <t>Fixed</t>
  </si>
  <si>
    <t>Product term</t>
  </si>
  <si>
    <t>Stress rate</t>
  </si>
  <si>
    <t>Product CMS</t>
  </si>
  <si>
    <t>5yr fixed?</t>
  </si>
  <si>
    <t>Term discount</t>
  </si>
  <si>
    <t>BTL SVR</t>
  </si>
  <si>
    <t>Personal / Occupational Pension</t>
  </si>
  <si>
    <t>State Retirement Pension</t>
  </si>
  <si>
    <t>Investment / Trust Income</t>
  </si>
  <si>
    <t>App. 1 Retired</t>
  </si>
  <si>
    <t>App. 2 Retired</t>
  </si>
  <si>
    <t>Yes</t>
  </si>
  <si>
    <t>No</t>
  </si>
  <si>
    <t>1 retired adult, no children</t>
  </si>
  <si>
    <t>2 retired adult, no children</t>
  </si>
  <si>
    <t>H</t>
  </si>
  <si>
    <t>I</t>
  </si>
  <si>
    <t>Number Retired</t>
  </si>
  <si>
    <t>Non-retired</t>
  </si>
  <si>
    <t>National Insurance</t>
  </si>
  <si>
    <t>Bursary</t>
  </si>
  <si>
    <t>Net Disposable Monthly Income</t>
  </si>
  <si>
    <t>Petrol</t>
  </si>
  <si>
    <t>Road Tax</t>
  </si>
  <si>
    <t>Notes to the expenditure</t>
  </si>
  <si>
    <t xml:space="preserve">Smoker(s) </t>
  </si>
  <si>
    <t>Cigarettes</t>
  </si>
  <si>
    <t>Taken from ONS table A35 - detailed average expenditure on transport costs in England</t>
  </si>
  <si>
    <t>Motor vehicle running costs</t>
  </si>
  <si>
    <t>Petrol, etc.</t>
  </si>
  <si>
    <t>MOT, servcing…</t>
  </si>
  <si>
    <t>Other costs</t>
  </si>
  <si>
    <t>Public transport costs</t>
  </si>
  <si>
    <t>Rail / tube fares</t>
  </si>
  <si>
    <t>Bus fares</t>
  </si>
  <si>
    <t>Combined fares</t>
  </si>
  <si>
    <t>Other travel costs</t>
  </si>
  <si>
    <t>Personal transport</t>
  </si>
  <si>
    <t xml:space="preserve">Parking </t>
  </si>
  <si>
    <t>Public transport</t>
  </si>
  <si>
    <t>Monthly Travel Costs Breakdown</t>
  </si>
  <si>
    <t>Spares &amp; accessories</t>
  </si>
  <si>
    <t>Motor Insurance</t>
  </si>
  <si>
    <t>MOT, repairs, servicing, etc.</t>
  </si>
  <si>
    <t>Loan</t>
  </si>
  <si>
    <t>New</t>
  </si>
  <si>
    <t>Monthly CMS if on a Capital &amp; Interest repayment basis</t>
  </si>
  <si>
    <t>Monthly CMS on an Interest-Only basis</t>
  </si>
  <si>
    <t xml:space="preserve">CMS Capital Rept. basis </t>
  </si>
  <si>
    <t>Management &amp; Letting Fees</t>
  </si>
  <si>
    <t>Service Charge</t>
  </si>
  <si>
    <t>Insurance</t>
  </si>
  <si>
    <t>Repairs</t>
  </si>
  <si>
    <t>Voids</t>
  </si>
  <si>
    <t>Utilities</t>
  </si>
  <si>
    <t>Gas &amp; Electric Certificates</t>
  </si>
  <si>
    <t>License Fee</t>
  </si>
  <si>
    <t>Ground Rent</t>
  </si>
  <si>
    <t>Other Costs</t>
  </si>
  <si>
    <t xml:space="preserve">Total Costs </t>
  </si>
  <si>
    <t>BTL Landlord prior to 1st Jan. 2017</t>
  </si>
  <si>
    <t>Stressed Cap. Rept.</t>
  </si>
  <si>
    <t>Rate of tax applied to rent net of expenditure</t>
  </si>
  <si>
    <t>Less costs incurred by landlord</t>
  </si>
  <si>
    <t xml:space="preserve">ICR incl. income at stress rate </t>
  </si>
  <si>
    <t>Tax liability</t>
  </si>
  <si>
    <t>Tax on net rental income (after expenses)</t>
  </si>
  <si>
    <t>Net rental income (after expenses)</t>
  </si>
  <si>
    <t>PERSONAL INCOME ANNUAL BUDGET SUMMARY</t>
  </si>
  <si>
    <t>PERSONAL INCOME MONTHLY SUMMARY</t>
  </si>
  <si>
    <t xml:space="preserve">Expected GROSS monthly rental income </t>
  </si>
  <si>
    <t>Interest-only</t>
  </si>
  <si>
    <t>Monthly Interest-only CMS at stress rate</t>
  </si>
  <si>
    <t>ICR (Interest Coverage Ratio) at stress rate</t>
  </si>
  <si>
    <t>Monthly landlord responsibilities for the property to be mortgaged</t>
  </si>
  <si>
    <t>Total portfolio LTV</t>
  </si>
  <si>
    <t xml:space="preserve">ICR at the stress rate on the property to be mortgaged </t>
  </si>
  <si>
    <t xml:space="preserve">Occupancy - average ICR based on 75% occupancy </t>
  </si>
  <si>
    <t>75% of GROSS portfolio monthly rental</t>
  </si>
  <si>
    <t>ICR using 75% rental on total portfolio</t>
  </si>
  <si>
    <t>ICR coverage on total portfolio</t>
  </si>
  <si>
    <t>Deductions before tax</t>
  </si>
  <si>
    <t>Pension contributions</t>
  </si>
  <si>
    <t>Deductions after tax</t>
  </si>
  <si>
    <t>Additional borrowing (if applicable)</t>
  </si>
  <si>
    <t>Average ICR across the portfolio including this mortgage</t>
  </si>
  <si>
    <t>Is this a Portfolio Landlord mortgage?</t>
  </si>
  <si>
    <t>Is this a new BTL property to the portfolio?</t>
  </si>
  <si>
    <t>How many of the properties are mortgaged?</t>
  </si>
  <si>
    <t>Interest-only payments @ 5.5% on the total portfolio mortgage balances</t>
  </si>
  <si>
    <t>Contract variations and additional borrowing</t>
  </si>
  <si>
    <t>Number</t>
  </si>
  <si>
    <t>Code letter</t>
  </si>
  <si>
    <t>N.B.  No tax will be deducted from the following figures and evidence of income will be required.</t>
  </si>
  <si>
    <t>APPLICANT NAME</t>
  </si>
  <si>
    <t>Stress Test (PASS/FAIL)</t>
  </si>
  <si>
    <t>PASS</t>
  </si>
  <si>
    <t>FAIL</t>
  </si>
  <si>
    <t>LANDLORD COSTS - TAX</t>
  </si>
  <si>
    <t>Retirement Indicators</t>
  </si>
  <si>
    <t>To start a new line press Alt + Return</t>
  </si>
  <si>
    <t>Other deductions after tax</t>
  </si>
  <si>
    <t>Total of Other Income Sources*</t>
  </si>
  <si>
    <t xml:space="preserve">*All other income will be carried over separately to the Affordability tab and where indicated, 50% of income will be applied.  </t>
  </si>
  <si>
    <t>Own lease, maintenance, ground rent &amp; service charges</t>
  </si>
  <si>
    <t>(Maintenance)</t>
  </si>
  <si>
    <t>(Bursary)</t>
  </si>
  <si>
    <t>(Benefits)</t>
  </si>
  <si>
    <t>(Child benefit)</t>
  </si>
  <si>
    <t>(WFTC)</t>
  </si>
  <si>
    <t>(Other income)</t>
  </si>
  <si>
    <t xml:space="preserve">Interest-only Repayment Strategy </t>
  </si>
  <si>
    <t>90% Net disposable monthly personal income</t>
  </si>
  <si>
    <t>NET Rental profit achieved after tax</t>
  </si>
  <si>
    <t>Less tax relief on product Interest-Only payment*</t>
  </si>
  <si>
    <t>(*If less than net rental)</t>
  </si>
  <si>
    <t>PLEASE NOTE THAT ALL CELLS IN YELLOW CAN BE POPULATED WITH INFORMATION.</t>
  </si>
  <si>
    <t>Help - Income Tab</t>
  </si>
  <si>
    <t>Rental coverage including 90% of net disposable income</t>
  </si>
  <si>
    <t>The net rental coverage must be equal to or greater than 130% of the interest-only mortgage payment at the stress rate to be acceptable to the Society.  However, if the net rental coverage is insufficient, net rental plus 90% of net disposable monthly income can be taken into account.</t>
  </si>
  <si>
    <t>Retirement status of all applicants</t>
  </si>
  <si>
    <t>Select the correct retirement status for each applicant from the dropdown options on the AFFORDABILITY TAB before completing the Income tab.  Failure to do this will affect the income calculation.</t>
  </si>
  <si>
    <t>Tax code</t>
  </si>
  <si>
    <t>Enter the Tax code numbers in cells D14 and G14, if known, and the tax code letter in cells E14 and H14, if known, otherwise leave blank.</t>
  </si>
  <si>
    <t xml:space="preserve">Input the annual, monthly or weekly gross income for the applicant for each applicant.  From the dropdown list remember to choose either Annual, Monthly or Weekly. </t>
  </si>
  <si>
    <t>Other regular but not guaranteed income</t>
  </si>
  <si>
    <t xml:space="preserve">Input regular non-guaranteed overtime, commission, bonuses, etc.   From the dropdown list remember to choose either Annual, Monthly or Weekly.  </t>
  </si>
  <si>
    <t xml:space="preserve">Input pension contributions, Childcare vouchers or other non-taxable deductions.  From the dropdown list remember to choose either Annual, Monthly or Weekly.   </t>
  </si>
  <si>
    <t xml:space="preserve">Input student loans, or other deductions that are not eligible for tax relief.  From the dropdown list remember to choose either Annual, Monthly or Weekly. </t>
  </si>
  <si>
    <t>This field calculates the amount of net monthly income and is carried over to the Affordability tab.</t>
  </si>
  <si>
    <t>Input full amounts for monthly maintenance, bursaries, rental income, etc. or other non-taxable income.  These figures are carried forward and itemised on the Affordability tab at either 100% or 50%.  Evidence will be required.</t>
  </si>
  <si>
    <t>Total of Other Income Sources</t>
  </si>
  <si>
    <t>This field will calculate the monthly total of all other income based on either 50% or 100% of the individual amounts entered.</t>
  </si>
  <si>
    <t>Help - Affordability Tab - All commitments should be entered as monthly</t>
  </si>
  <si>
    <t>Income - Net Pay</t>
  </si>
  <si>
    <t>Each applicant's net monthly income is pulled through from the Income tab.</t>
  </si>
  <si>
    <t>Other income</t>
  </si>
  <si>
    <t>Household size</t>
  </si>
  <si>
    <t>Enter the number of adults and the number of children in the household.</t>
  </si>
  <si>
    <t>Household size - retirement status</t>
  </si>
  <si>
    <t>Committed expenditure</t>
  </si>
  <si>
    <t>Input the monthly amount of any secured or unsecured loans held by the borrower(s).</t>
  </si>
  <si>
    <t xml:space="preserve">Credit Card / Store Card Monthly Payments </t>
  </si>
  <si>
    <t>Input the credit card or store card balance into the cell to the right of the committed expenditure.  The calculator will carry over a monthly commitment of 3% of the balance input.</t>
  </si>
  <si>
    <t>Maintenance / CSA Payments</t>
  </si>
  <si>
    <t>Input the amount of any maintenance or CSA payments the borrower(s) has to make.</t>
  </si>
  <si>
    <t>Input the applicant's lease, maintenance costs, etc. in respect of their own residence.</t>
  </si>
  <si>
    <t>Input the monthly cost of any repayment strategy that the borrower(s) contributes towards e.g. endowment, pension plan, etc…</t>
  </si>
  <si>
    <t>Utilities (Gas, Water, Electricity)</t>
  </si>
  <si>
    <t xml:space="preserve">Input the total amount of the Gas, Water and Electricity payments declared by the borrower. </t>
  </si>
  <si>
    <t>Council tax</t>
  </si>
  <si>
    <t>When inputting the council tax payment enter the monthly payment declared by the borrower(s).  The calculator assumes Council Tax is paid over 10 months and uses ten twelfths of the monthly amount.</t>
  </si>
  <si>
    <t>Other basic essential expenditure</t>
  </si>
  <si>
    <t xml:space="preserve">Input the amount of all basic expenditure declared by the borrower. </t>
  </si>
  <si>
    <t>Recreation costs, personal goods, etc.</t>
  </si>
  <si>
    <t>Input the total monthly amount of all basic quality of living costs declared by the borrower(s).</t>
  </si>
  <si>
    <t>Smoker(s)?</t>
  </si>
  <si>
    <t>Use the dropdown list to indicate whether the borrower(s) is a smoker or not.</t>
  </si>
  <si>
    <t>Use this section to enter any supporting information to the expenditure you consider to be relevant such as company car, borrower walks to work, etc.</t>
  </si>
  <si>
    <t>Full details of loan</t>
  </si>
  <si>
    <t>Enter the loan details in the yellow cells.</t>
  </si>
  <si>
    <t>The calculator will automatically show the CMS at the PRODUCT pay rate and the STRESS rate on an Interest-only basis.</t>
  </si>
  <si>
    <t>The calculator will also automatically show the CMS at the PRODUCT pay rate and the STRESS rate on a Capital Repayment basis.</t>
  </si>
  <si>
    <t>Stress rates</t>
  </si>
  <si>
    <t>The calculator applies a stress rate of the higher of 2% above the product rate or 5.50%.  If the product is fixed for 5 years or more no stress rate is applied and the product rate is used instead.</t>
  </si>
  <si>
    <t>This shows the borrower's total annual income after tax, less their total annual spending.</t>
  </si>
  <si>
    <t>This shows the borrower's net disposable income after expenditure.</t>
  </si>
  <si>
    <t>Ability to support stressed CMS on just NET rental income after profit</t>
  </si>
  <si>
    <t>THE FOLLOWING INCOME TYPES WILL USE 100% OF THE INCOME ENTERED</t>
  </si>
  <si>
    <t>Self-employed &amp; Other Guaranteed Income types</t>
  </si>
  <si>
    <t xml:space="preserve">Input self-employed income or guaranteed overtime, commission, bonuses, etc.   From the dropdown list remember to choose either Annual, Monthly or Weekly.  </t>
  </si>
  <si>
    <t>THE FOLLOWING INCOME TYPES WILL USE 50% OF THE INCOME ENTERED</t>
  </si>
  <si>
    <t>THE FOLLOWING WILL BE DEDUCTED FROM THE INCOME</t>
  </si>
  <si>
    <t>THE FOLLOWING MUST BE ENTERED AS MONTHLY AMOUNTS.  NO TAX WILL BE DEDUCTED AND EITHER 50% OR 100% WILL BE USED BASED ON THE INCOME TYPE</t>
  </si>
  <si>
    <t>Input the monthly amount of any residential mortgage commitments held by the borrower(s).</t>
  </si>
  <si>
    <t>Interest-only Repayment Strategy</t>
  </si>
  <si>
    <t>Housekeeping (food &amp; washing)</t>
  </si>
  <si>
    <t>Input the borrower's average monthly expenditure on shopping.</t>
  </si>
  <si>
    <t>Buildings insurance</t>
  </si>
  <si>
    <t>Input the monthly cost of buildings (and contents) insurance on their residential property.</t>
  </si>
  <si>
    <t>Essential travel motoring costs (Inc. work or school)</t>
  </si>
  <si>
    <t>Input essential motoring travel costs into the "Monthly Travel Costs Breakdown" section to the right of the Basic Essential Expenditure section.</t>
  </si>
  <si>
    <t>Communication (Mobile phone)</t>
  </si>
  <si>
    <t>Input the monthly costs in respect of mobile phones.</t>
  </si>
  <si>
    <t>Input any premiums in respect of life and health assurance.</t>
  </si>
  <si>
    <t>Essential travel public transport costs (Inc. work or school)</t>
  </si>
  <si>
    <t>Input essential public transport travel costs into the "Monthly Travel Costs Breakdown" section to the right of the Basic Essential Expenditure section.</t>
  </si>
  <si>
    <t>Holidays, childcare, clothing, etc.</t>
  </si>
  <si>
    <t>Buy-to-Let Loan details</t>
  </si>
  <si>
    <t>If the assessment is for a further advance, existing mortgage commitments can be shown by completing the Sub account rows.</t>
  </si>
  <si>
    <t xml:space="preserve">Choose "Yes" or "No" from the dropdown list.  </t>
  </si>
  <si>
    <t>If "Yes", proceed to the Portfolio tab and complete the information required.</t>
  </si>
  <si>
    <t xml:space="preserve">Number of properties in the portfolio? </t>
  </si>
  <si>
    <t xml:space="preserve">(including both mortgaged &amp; unmortgaged) </t>
  </si>
  <si>
    <t>Enter the number of properties.</t>
  </si>
  <si>
    <t>Enter the number in mortgage.</t>
  </si>
  <si>
    <t>If "No", complete the rest of the questions.  If "Yes", the Society DOES NOT accept new Portfolio lending and the case cannot proceed.</t>
  </si>
  <si>
    <t xml:space="preserve">Estimated total value (or HPI) of the portfolio? </t>
  </si>
  <si>
    <t xml:space="preserve"> (including both mortgaged &amp; unmortgaged) </t>
  </si>
  <si>
    <t>Enter either the total value of the properties provided by the landlord or the HPI figures.</t>
  </si>
  <si>
    <t xml:space="preserve">Outstanding mortgage balances in the portfolio? </t>
  </si>
  <si>
    <t>(excluding additional borrowing)</t>
  </si>
  <si>
    <t>Enter the outstanding mortgage balances, excluding the new borrowing.</t>
  </si>
  <si>
    <t>Enter any additional borrowing amounts.</t>
  </si>
  <si>
    <t>Outstanding mortgage balances in the portfolio including additional borrowing</t>
  </si>
  <si>
    <t>This cell populates the total outstanding mortgage balances plus any additional borrowing.</t>
  </si>
  <si>
    <t>This cell will show the total portfolio LTV.</t>
  </si>
  <si>
    <t xml:space="preserve">N.B.  The maximum LTV across the landlords portfolio must not exceed 75% (based on HPI figures and the original purchase price from Land Registry). </t>
  </si>
  <si>
    <t xml:space="preserve">Expected GROSS monthly rental income on the portfolio?  </t>
  </si>
  <si>
    <t>Enter the total GROSS monthly rental income across the portfolio, including this mortgage.</t>
  </si>
  <si>
    <t>This is a stressed Interest-only CMS at 5.5% on the total portfolio mortgage balances.</t>
  </si>
  <si>
    <t>This is ICR rental coverage on the entire portfolio.</t>
  </si>
  <si>
    <t>N.B. The rental income across the portfolio must exceed 140% coverage of all mortgage payments based at a stress rate of 5.5% on interest only.</t>
  </si>
  <si>
    <t>The following calculations assume that only 75% of the rental properties in the portfolio are currently occupied.</t>
  </si>
  <si>
    <t>This figure is 75% of the GROSS monthly rental income.</t>
  </si>
  <si>
    <t>This is ICR rental coverage based on 75% of the portfolio.</t>
  </si>
  <si>
    <t xml:space="preserve">N.B. The average rental income from 75% of the portfolio must be able to cover all mortgage payments based on a stress rate of 5.5%. </t>
  </si>
  <si>
    <r>
      <t>Other income such as Working Family tax credit, Child benefit, etc. are pulled through from the Income tab.</t>
    </r>
    <r>
      <rPr>
        <b/>
        <sz val="11"/>
        <rFont val="Calibri"/>
        <family val="2"/>
      </rPr>
      <t xml:space="preserve">  IMPORTANT - No tax has been deducted from these figures.</t>
    </r>
  </si>
  <si>
    <r>
      <t xml:space="preserve">From the dropdown options indicate whether each applicant is retired or non-retired.  </t>
    </r>
    <r>
      <rPr>
        <b/>
        <sz val="11"/>
        <rFont val="Calibri"/>
        <family val="2"/>
      </rPr>
      <t>IMPORTANT - Failure to indicate this will affect the net pay and will give incorrect figures.</t>
    </r>
  </si>
  <si>
    <r>
      <t xml:space="preserve">The calculator shows the monthly and annual totals for the Essential and Basic Quality of Living costs declared but </t>
    </r>
    <r>
      <rPr>
        <b/>
        <u/>
        <sz val="11"/>
        <rFont val="Calibri"/>
        <family val="2"/>
      </rPr>
      <t>not</t>
    </r>
    <r>
      <rPr>
        <sz val="11"/>
        <rFont val="Calibri"/>
        <family val="2"/>
      </rPr>
      <t xml:space="preserve"> the committed expenditure.</t>
    </r>
  </si>
  <si>
    <t>PORTFOLIO LANDLORD ASSESSMENT - EXISTING BORROWERS ONLY</t>
  </si>
  <si>
    <t>Help - Portfolio Landlord Tab - Existing borrowers only</t>
  </si>
  <si>
    <r>
      <rPr>
        <b/>
        <u/>
        <sz val="10"/>
        <rFont val="Tahoma"/>
        <family val="2"/>
      </rPr>
      <t>Tax Code ending in 'K'</t>
    </r>
    <r>
      <rPr>
        <b/>
        <sz val="10"/>
        <rFont val="Tahoma"/>
        <family val="2"/>
      </rPr>
      <t xml:space="preserve"> </t>
    </r>
    <r>
      <rPr>
        <sz val="10"/>
        <rFont val="Tahoma"/>
        <family val="2"/>
      </rPr>
      <t xml:space="preserve">
K codes are negative codes so adjustments are added to pay rather than deducted from it. The K code can avoid a tax underpayment accumulating during the year. A regulatory limit prevents tax deductions exceeding 50% of gross pay. Weekly or monthly PAYE tax liabilities above the regulatory limit are carried forward.</t>
    </r>
  </si>
  <si>
    <t>Taken from ONS table A23 - UK, financial year ending 2018</t>
  </si>
  <si>
    <t>Taken from ONS table A35 - detailed average expenditure on utilities in England - UK, financial year ending 2016 to financial year ending 2018</t>
  </si>
  <si>
    <t xml:space="preserve">  </t>
  </si>
  <si>
    <t>Basic rate / Higher Rate Tax Payers ICR coverage</t>
  </si>
  <si>
    <t>Basic @ 20%</t>
  </si>
  <si>
    <t xml:space="preserve">Higher @ 40% </t>
  </si>
  <si>
    <t>Higher @ 45%</t>
  </si>
  <si>
    <t>ICR applied</t>
  </si>
  <si>
    <t>N.B. Not currently used - 22.07.19</t>
  </si>
  <si>
    <t>ABILITY TO MEET MONTHLY MORTGAGE REPAYMENTS ON THE PROPERTY TO BE MORTGAGED</t>
  </si>
  <si>
    <t>Highest rate of tax applicable</t>
  </si>
  <si>
    <t>Maximum loan available based on rental achieveable</t>
  </si>
  <si>
    <t>Ability to support stressed CMS on combined GROSS rental income plus 90% of applicant(s) disposable free income</t>
  </si>
  <si>
    <t xml:space="preserve">Enter the expected Gross Monthly rental income in the yellow cell. </t>
  </si>
  <si>
    <t>Tax is applied to rental income at the highest tax rate payable by the applicant(s) and the Interest rate coverage (ICR) will be appled as follows;</t>
  </si>
  <si>
    <t xml:space="preserve">Basic rate - £12,501 to £50,000  </t>
  </si>
  <si>
    <t xml:space="preserve">Higher rate - £50,001 to £150,000 </t>
  </si>
  <si>
    <t xml:space="preserve">Additional rate - over £150,000 </t>
  </si>
  <si>
    <t>The GROSS rental coverage must be equal to or greater than Interest Coverage Ratio (ICR) of the interest-only mortgage payment at the stress rate at the ICR applicable to the applicant(s) highest tax band.  If the  rental coverage is insufficient, rental plus 90% of net disposable monthly income can be taken into account - see Rental coverage incl. income at stress rate cell.</t>
  </si>
  <si>
    <t>130% Interest Coverage Ratio (ICR)</t>
  </si>
  <si>
    <t>165% Interest Coverage Ratio (ICR)</t>
  </si>
  <si>
    <t xml:space="preserve">This states the GROSS rental coverage of the stressed Interest-only CMS. </t>
  </si>
  <si>
    <t>Equal to or above ICR at appropriate tax band = GREEN / PASS</t>
  </si>
  <si>
    <t>Less than ICR at appropritae tax band = RED / FAIL</t>
  </si>
  <si>
    <t>If the ICR is below the required percentage at the applicant(s) highest tax band , 90% of net disposable net income can be included - see following.</t>
  </si>
  <si>
    <t>Ability to support stressed CMS on combined GROSS rental income plus 90% disposable free income</t>
  </si>
  <si>
    <t xml:space="preserve">This states the combined GROSS rental coverage and 90% of disposable net income of the stressed Interest-only CMS. </t>
  </si>
  <si>
    <t>If the combined ICR is below the required percentage the case cannot proceed.</t>
  </si>
  <si>
    <t>This states the minimum loan available based on the rent achieveable at the relevent ICR coverage, i.e. 130% or 165%.</t>
  </si>
  <si>
    <t>IMPORTANT NOTE - IT IS ASSUMED FAMILY BUY-TO-LET PROPERTIES ARE NOT NECESSARILY BEING LET FOR PROFIT AND THEREFORE THE ABILITY TO SUPPORT THE STRESSED CMS CAN BE BASED SOLELY ON THE COMBINED GROSS RENTAL INCOME &amp; 90% OF DISPOSABLE INCOME</t>
  </si>
  <si>
    <t>Plus 90% Net disposable monthly personal income</t>
  </si>
  <si>
    <t>Basic rate / Higher rate tax payer input</t>
  </si>
  <si>
    <t>Basic rate</t>
  </si>
  <si>
    <t>Higher rate</t>
  </si>
  <si>
    <t>Additional rate</t>
  </si>
  <si>
    <t>Which tax band does the applicant fall into?</t>
  </si>
  <si>
    <t>Result</t>
  </si>
  <si>
    <t>Rate of tax applied to profits</t>
  </si>
  <si>
    <t>The dropdown options available are Basic, Higher or Additional rate.  This will apply tax to the rent net of expenditure and the appropriate ICR (see below).  The answer to the dropdown question will be overridden if income is entered on the income tab.</t>
  </si>
  <si>
    <t>2018-19 income tax rates and thresholds</t>
  </si>
  <si>
    <t>Band</t>
  </si>
  <si>
    <t>Taxable income</t>
  </si>
  <si>
    <t>Tax rate</t>
  </si>
  <si>
    <t>Up to £12,500</t>
  </si>
  <si>
    <t>£12,501 to £50,000</t>
  </si>
  <si>
    <t>£50,001 to £150,000</t>
  </si>
  <si>
    <t>over £150,000</t>
  </si>
  <si>
    <t>SALARY AND DIVIDEND TAX CALCULATOR</t>
  </si>
  <si>
    <t>APPLICANT ONE</t>
  </si>
  <si>
    <t>APPLICANT TWO</t>
  </si>
  <si>
    <t>Salary</t>
  </si>
  <si>
    <t>Dividends</t>
  </si>
  <si>
    <t>Dividend</t>
  </si>
  <si>
    <t>Basic rate limit</t>
  </si>
  <si>
    <t>Allowance reduction threshold</t>
  </si>
  <si>
    <t>Allowance</t>
  </si>
  <si>
    <t>N/a</t>
  </si>
  <si>
    <t>Total Annual Income incl. dividends</t>
  </si>
  <si>
    <t>Annual Salary / Self-employed Income</t>
  </si>
  <si>
    <t>Dividend Income</t>
  </si>
  <si>
    <t>Salary Tax</t>
  </si>
  <si>
    <t>Dividend Tax</t>
  </si>
  <si>
    <t>Annual Net Income</t>
  </si>
  <si>
    <t>IMPORTANT - Please answer the question for each applicant</t>
  </si>
  <si>
    <r>
      <t xml:space="preserve">Where 50% is indicated enter the </t>
    </r>
    <r>
      <rPr>
        <u/>
        <sz val="10"/>
        <rFont val="Tahoma"/>
        <family val="2"/>
      </rPr>
      <t xml:space="preserve">FULL </t>
    </r>
    <r>
      <rPr>
        <sz val="10"/>
        <rFont val="Tahoma"/>
        <family val="2"/>
      </rPr>
      <t xml:space="preserve">amount &amp; this will automatically be amended to 50% in </t>
    </r>
    <r>
      <rPr>
        <u/>
        <sz val="10"/>
        <rFont val="Tahoma"/>
        <family val="2"/>
      </rPr>
      <t>all</t>
    </r>
    <r>
      <rPr>
        <sz val="10"/>
        <rFont val="Tahoma"/>
        <family val="2"/>
      </rPr>
      <t xml:space="preserve"> calculations.</t>
    </r>
  </si>
  <si>
    <t>IMPORTANT -Amend the income frequency as required.</t>
  </si>
  <si>
    <r>
      <t>Other Income -</t>
    </r>
    <r>
      <rPr>
        <b/>
        <sz val="10"/>
        <color indexed="10"/>
        <rFont val="Tahoma"/>
        <family val="2"/>
      </rPr>
      <t xml:space="preserve"> THESE MUST BE MONTHLY</t>
    </r>
  </si>
  <si>
    <r>
      <rPr>
        <b/>
        <u/>
        <sz val="10"/>
        <rFont val="Tahoma"/>
        <family val="2"/>
      </rPr>
      <t>Personal Allowance - income over £100,000</t>
    </r>
    <r>
      <rPr>
        <sz val="10"/>
        <rFont val="Tahoma"/>
        <family val="2"/>
      </rPr>
      <t xml:space="preserve">
Your Personal Allowance goes down by £1 for every £2 that your adjusted net income is above £100,000. This means your allowance is zero if your income is £125,000 or above.</t>
    </r>
  </si>
  <si>
    <t>ONS Information Header only</t>
  </si>
  <si>
    <t>1 adult, no children</t>
  </si>
  <si>
    <t>2 adults, no children</t>
  </si>
  <si>
    <t>1 adult, 2 or more children</t>
  </si>
  <si>
    <t>2 adults, 3 or more children</t>
  </si>
  <si>
    <t>2 retired adults, no children</t>
  </si>
  <si>
    <t>2020 / 2021 Salary &amp; Dividend Test Summary</t>
  </si>
  <si>
    <t>App 1</t>
  </si>
  <si>
    <t>App 2</t>
  </si>
  <si>
    <t>Gross salary</t>
  </si>
  <si>
    <t>Tax / N.I.</t>
  </si>
  <si>
    <t>Net salary</t>
  </si>
  <si>
    <t>Less tax</t>
  </si>
  <si>
    <t>Net dividends</t>
  </si>
  <si>
    <t>Total Income</t>
  </si>
  <si>
    <t>BTL Rental Income (3 or more properties)</t>
  </si>
  <si>
    <t>BTL Rental Income (2 or less properties)</t>
  </si>
  <si>
    <t>Is either Applicant above state retirement age?</t>
  </si>
  <si>
    <t>APPLICANT'S PERSONAL INCOME BUDGET CALCULATOR</t>
  </si>
  <si>
    <t>IMPORTANT - Please ensure the number of applicants agrees with the Income tab and that retirement statuses have been changed.</t>
  </si>
  <si>
    <t>Adult occupant check against Income tab</t>
  </si>
  <si>
    <t>1st Applicant</t>
  </si>
  <si>
    <t>2nd Applicant</t>
  </si>
  <si>
    <t>Income tab total</t>
  </si>
  <si>
    <t>Adults Household size</t>
  </si>
  <si>
    <t>*One or both applicants are above the state retirement age - see Income tab</t>
  </si>
  <si>
    <t>*Below the state retirement age - see Income tab</t>
  </si>
  <si>
    <t>rerun version owing to ONS errors</t>
  </si>
  <si>
    <t>Not used</t>
  </si>
  <si>
    <t>IS THIS A HOLIDAY LET MORTGAGE?</t>
  </si>
  <si>
    <t>Is this a Holiday Let?</t>
  </si>
  <si>
    <t>Max loan achieavable based on rental calculation.</t>
  </si>
  <si>
    <t>BTL / Family BTL</t>
  </si>
  <si>
    <t>Holiday Let</t>
  </si>
  <si>
    <t>If you select "Yes" from the dropdown option this will change the output narrative to blue to signify this is assessed on a Holiday Let basis.</t>
  </si>
  <si>
    <t xml:space="preserve">IS THIS A HOLIDAY LET MORTGAGE? </t>
  </si>
  <si>
    <t>HOLIDAY LET - GROSS ANNUAL RENTAL INCOME</t>
  </si>
  <si>
    <t>Enter the average annual Gross Rental Income for the Holiday Let.</t>
  </si>
  <si>
    <t>Holiday Let - Tax applied to profits at Basic rate</t>
  </si>
  <si>
    <t>The calculator will automatically apply tax at the basic rate.</t>
  </si>
  <si>
    <t>HOLIDAY LET - AVERAGE GROSS MONTHLY RENTAL</t>
  </si>
  <si>
    <t>The calculator will divide the Gross Annual Rental entered over 12 months.</t>
  </si>
  <si>
    <t>All results will then be the same as for a BTL mortgage.</t>
  </si>
  <si>
    <t>Repayment method</t>
  </si>
  <si>
    <t>Repayment</t>
  </si>
  <si>
    <t>Cap R/p CMS</t>
  </si>
  <si>
    <t>Reversion CMS</t>
  </si>
  <si>
    <t>Bal at reversion</t>
  </si>
  <si>
    <t>SVR /Term Discount Calc.</t>
  </si>
  <si>
    <t>Interest-only CMS</t>
  </si>
  <si>
    <t>Rept CMS</t>
  </si>
  <si>
    <t>Rep Stress CMS</t>
  </si>
  <si>
    <t>IO Stress CMS</t>
  </si>
  <si>
    <t>SVR rate</t>
  </si>
  <si>
    <t>Projected affordability</t>
  </si>
  <si>
    <t>At retirement</t>
  </si>
  <si>
    <t>At age 80</t>
  </si>
  <si>
    <t>New loan RP</t>
  </si>
  <si>
    <t>Sub 1</t>
  </si>
  <si>
    <t>Sub 2</t>
  </si>
  <si>
    <t>Sub 3</t>
  </si>
  <si>
    <t>Sub 4</t>
  </si>
  <si>
    <t>Sub 5</t>
  </si>
  <si>
    <t>Sub 6</t>
  </si>
  <si>
    <t>Sub 7</t>
  </si>
  <si>
    <t>Loan amount</t>
  </si>
  <si>
    <t>Loan payment</t>
  </si>
  <si>
    <t>Product rate</t>
  </si>
  <si>
    <t>Term Calculator</t>
  </si>
  <si>
    <t>Months</t>
  </si>
  <si>
    <t>(Rounded)</t>
  </si>
  <si>
    <t>Not used!!</t>
  </si>
  <si>
    <t>Capital Repayment
Term Calculator</t>
  </si>
  <si>
    <t>I.O. element</t>
  </si>
  <si>
    <t>Assumes payments are constant each month</t>
  </si>
  <si>
    <t>TOTAL</t>
  </si>
  <si>
    <t>BTL SVR rate</t>
  </si>
  <si>
    <t>Use ONS figures?</t>
  </si>
  <si>
    <t>Utilities (Gas, Water &amp; Electricity)</t>
  </si>
  <si>
    <t>Typical monthly shopping</t>
  </si>
  <si>
    <t>Shopping</t>
  </si>
  <si>
    <t>Other heating</t>
  </si>
  <si>
    <t>Buildings ins.</t>
  </si>
  <si>
    <t>Mbl. Phones</t>
  </si>
  <si>
    <t>Pers. Transport</t>
  </si>
  <si>
    <t>Health ins</t>
  </si>
  <si>
    <t>Other exp.</t>
  </si>
  <si>
    <t>Leisure</t>
  </si>
  <si>
    <t>Personal goods</t>
  </si>
  <si>
    <t>Smoker</t>
  </si>
  <si>
    <t xml:space="preserve">Holidays </t>
  </si>
  <si>
    <t>Childcare</t>
  </si>
  <si>
    <t>Households goods &amp; repairs</t>
  </si>
  <si>
    <t>1st Check</t>
  </si>
  <si>
    <t>2nd Check</t>
  </si>
  <si>
    <t>Years</t>
  </si>
  <si>
    <t>ONS Overide calculations</t>
  </si>
  <si>
    <t>Actual travel costs</t>
  </si>
  <si>
    <t>ONS travel costs if selected</t>
  </si>
  <si>
    <t>Travel Overide calculations</t>
  </si>
  <si>
    <t>LANDLORD'S GROSS INCOME BEFORE DEDUCTIONS - FOR RENTAL COVERAGE TAX BAND CALCULATION</t>
  </si>
  <si>
    <t>Annual Income before deductions</t>
  </si>
  <si>
    <t xml:space="preserve"> &lt;&lt; must be completed for each new assesment</t>
  </si>
  <si>
    <t>Ability to support stressed CMS on GROSS rental income on INTEREST-ONLY</t>
  </si>
  <si>
    <t>CAPITAL REPAYMENT</t>
  </si>
  <si>
    <t>INTEREST-ONLY</t>
  </si>
  <si>
    <t>PART &amp; PART</t>
  </si>
  <si>
    <t>Projected future balance check</t>
  </si>
  <si>
    <t>Mobile phone &amp; broadband contracts</t>
  </si>
  <si>
    <t>BROKER NAME</t>
  </si>
  <si>
    <t>Primary Income</t>
  </si>
  <si>
    <t>Guaranteed rent allowance / town allowance</t>
  </si>
  <si>
    <t>Second job (same industry)</t>
  </si>
  <si>
    <t>Secondary Income</t>
  </si>
  <si>
    <t>Regular bonus / commission</t>
  </si>
  <si>
    <t>Second job (different industry)</t>
  </si>
  <si>
    <t>Pension / Investment Income</t>
  </si>
  <si>
    <t>Other costs, e.g. pets, dentistry, opticians, etc.</t>
  </si>
  <si>
    <t>Leisure costs, e.g. going out, Netflix, gym, etc.</t>
  </si>
  <si>
    <t>Personal goods, e.g. toiletries not incl. in weekly shop</t>
  </si>
  <si>
    <t>Holidays (monthly average for year)</t>
  </si>
  <si>
    <t>Childcare (nursery/school/university fees)</t>
  </si>
  <si>
    <t>Clothing (monthly average for year)</t>
  </si>
  <si>
    <t>Goods &amp; repairs, e.g. furniture, boiler cover, etc.</t>
  </si>
  <si>
    <t>Other costs not already mentioned</t>
  </si>
  <si>
    <t>Cap. R/p.</t>
  </si>
  <si>
    <t>Int. Only</t>
  </si>
  <si>
    <t xml:space="preserve">IMPORTANT - Complete ‘Cap. R/p' for Repayment or 'Int. Only' for Interest-only or both rows for 'Part &amp; Part'.  </t>
  </si>
  <si>
    <t>Motoring costs</t>
  </si>
  <si>
    <t>Complete table opposite&gt;&gt;</t>
  </si>
  <si>
    <t>Removed from Broker BTL calculator 6th April 2022</t>
  </si>
  <si>
    <t>Personal allowance</t>
  </si>
  <si>
    <t>Tax free dividends</t>
  </si>
  <si>
    <t>Personal allowance reduction</t>
  </si>
  <si>
    <t>Applicable Personal Allowance</t>
  </si>
  <si>
    <t>Allowance is zero from</t>
  </si>
  <si>
    <t>Salary tax calculation</t>
  </si>
  <si>
    <t>Dividend tax calculation</t>
  </si>
  <si>
    <t>Dividend allowance</t>
  </si>
  <si>
    <t>&lt;&lt;ENTER TAX CODE NUMBERS IN CELLS D14 and G14 IF KNOWN &amp; TAX CODE LETTER IN CELLS E14 AND H14 IF KNOWN - OTHERWISE LEAVE BLANK</t>
  </si>
  <si>
    <t>Loan Term in Years</t>
  </si>
  <si>
    <t>Plus Months</t>
  </si>
  <si>
    <t>Loan type</t>
  </si>
  <si>
    <t>Repayment type</t>
  </si>
  <si>
    <t>Stressed CMS</t>
  </si>
  <si>
    <t>SVR for statement</t>
  </si>
  <si>
    <t>STRESSED PAYMENT(S)</t>
  </si>
  <si>
    <t>Rate applied to loan</t>
  </si>
  <si>
    <t>Maintenance (if by Court Order) – 2 years minimum</t>
  </si>
  <si>
    <t>Maintenance (if NOT by Court Order) – 2 years minimum</t>
  </si>
  <si>
    <t>Benefits (evidence required)</t>
  </si>
  <si>
    <t>Child Benefit</t>
  </si>
  <si>
    <t>Working Tax Credit (WTC)</t>
  </si>
  <si>
    <t>Other State Benefit</t>
  </si>
  <si>
    <t>Benefit</t>
  </si>
  <si>
    <t>% Assessable</t>
  </si>
  <si>
    <t>Universal Credit (UC)</t>
  </si>
  <si>
    <t>Constant Attendance Allowance (CAA)</t>
  </si>
  <si>
    <t>Job Seekers Allowance (JSA)</t>
  </si>
  <si>
    <t>Disability Living Allowance (DLA)</t>
  </si>
  <si>
    <t>Child Tax Credit (CTC)</t>
  </si>
  <si>
    <t>Pension Credit (PC)</t>
  </si>
  <si>
    <t>Personal independence Payment (PIP)</t>
  </si>
  <si>
    <t>Adult Disability Payment (ADP)</t>
  </si>
  <si>
    <t>Employment &amp; Support Allowance (ESA)</t>
  </si>
  <si>
    <t>Carers Allowance (CA)</t>
  </si>
  <si>
    <t>Attendance Allowance (AA)</t>
  </si>
  <si>
    <t>Child Disability (CD)</t>
  </si>
  <si>
    <t>N.I. rate changed 06 April 2024</t>
  </si>
  <si>
    <t>SVR increased from 7.49% to 7.94% - 15th March 2024</t>
  </si>
  <si>
    <t>TAX YEAR 2024/25</t>
  </si>
  <si>
    <t>Tax year 2024/2025</t>
  </si>
  <si>
    <t>Tax Year 2024/25</t>
  </si>
  <si>
    <t>New Calculations from 06/04/2024</t>
  </si>
  <si>
    <t>Tax Year 2024/2025</t>
  </si>
  <si>
    <t>Broker BTL, Family BTL &amp; Holiday Let calculator v.51  (FINAL) - 16th April 2024</t>
  </si>
  <si>
    <t>Broker BTL, Family BTL &amp; Holiday Let Calculator - v. 51 (FINAL) 16th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</si>
</sst>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44" formatCode="_-&quot;£&quot;* #,##0.00_-;\-&quot;£&quot;* #,##0.00_-;_-&quot;£&quot;* &quot;-&quot;??_-;_-@_-"/>
    <numFmt numFmtId="43" formatCode="_-* #,##0.00_-;\-* #,##0.00_-;_-* &quot;-&quot;??_-;_-@_-"/>
    <numFmt numFmtId="164" formatCode="_-&quot;£&quot;* #,##0_-;\-&quot;£&quot;* #,##0_-;_-&quot;£&quot;* &quot;-&quot;??_-;_-@_-"/>
    <numFmt numFmtId="165" formatCode="0.000%"/>
    <numFmt numFmtId="166" formatCode="0.0000%"/>
    <numFmt numFmtId="167" formatCode="General_)"/>
    <numFmt numFmtId="168" formatCode="#,##0_ ;\-#,##0\ "/>
    <numFmt numFmtId="169" formatCode="_-* #,##0_-;\-* #,##0_-;_-* &quot;-&quot;??_-;_-@_-"/>
  </numFmts>
  <fonts count="47">
    <font>
      <sz val="10"/>
      <name val="Tahoma"/>
    </font>
    <font>
      <sz val="10"/>
      <name val="Tahoma"/>
      <family val="2"/>
    </font>
    <font>
      <b/>
      <sz val="10"/>
      <name val="Tahoma"/>
      <family val="2"/>
    </font>
    <font>
      <sz val="8"/>
      <name val="Tahoma"/>
      <family val="2"/>
    </font>
    <font>
      <sz val="10"/>
      <name val="Tahoma"/>
      <family val="2"/>
    </font>
    <font>
      <b/>
      <u/>
      <sz val="10"/>
      <name val="Tahoma"/>
      <family val="2"/>
    </font>
    <font>
      <sz val="10"/>
      <name val="Arial (W1)"/>
    </font>
    <font>
      <sz val="9"/>
      <color indexed="81"/>
      <name val="Tahoma"/>
      <family val="2"/>
    </font>
    <font>
      <b/>
      <sz val="10"/>
      <name val="Arial"/>
      <family val="2"/>
    </font>
    <font>
      <sz val="10"/>
      <name val="Arial"/>
      <family val="2"/>
    </font>
    <font>
      <sz val="10"/>
      <name val="Tahoma"/>
      <family val="2"/>
    </font>
    <font>
      <b/>
      <i/>
      <sz val="10"/>
      <name val="Tahoma"/>
      <family val="2"/>
    </font>
    <font>
      <sz val="10"/>
      <name val="Courier"/>
      <family val="3"/>
    </font>
    <font>
      <sz val="10"/>
      <name val="MS Sans Serif"/>
      <family val="2"/>
    </font>
    <font>
      <sz val="10"/>
      <name val="Tahoma"/>
      <family val="2"/>
    </font>
    <font>
      <b/>
      <u/>
      <sz val="9"/>
      <color indexed="81"/>
      <name val="Tahoma"/>
      <family val="2"/>
    </font>
    <font>
      <sz val="10"/>
      <name val="Tahoma"/>
      <family val="2"/>
    </font>
    <font>
      <sz val="10"/>
      <name val="Tahoma"/>
      <family val="2"/>
    </font>
    <font>
      <b/>
      <sz val="10"/>
      <color indexed="10"/>
      <name val="Tahoma"/>
      <family val="2"/>
    </font>
    <font>
      <sz val="11"/>
      <name val="Calibri"/>
      <family val="2"/>
    </font>
    <font>
      <u/>
      <sz val="10"/>
      <name val="Tahoma"/>
      <family val="2"/>
    </font>
    <font>
      <b/>
      <sz val="11"/>
      <name val="Calibri"/>
      <family val="2"/>
    </font>
    <font>
      <sz val="11"/>
      <name val="Tahoma"/>
      <family val="2"/>
    </font>
    <font>
      <b/>
      <u/>
      <sz val="11"/>
      <name val="Calibri"/>
      <family val="2"/>
    </font>
    <font>
      <b/>
      <u/>
      <sz val="10"/>
      <name val="Arial"/>
      <family val="2"/>
    </font>
    <font>
      <sz val="10"/>
      <name val="Tahoma"/>
      <family val="2"/>
    </font>
    <font>
      <b/>
      <u val="singleAccounting"/>
      <sz val="10"/>
      <name val="Tahoma"/>
      <family val="2"/>
    </font>
    <font>
      <sz val="10"/>
      <name val="Calibri"/>
      <family val="2"/>
    </font>
    <font>
      <sz val="10"/>
      <name val="Tahoma"/>
      <family val="2"/>
    </font>
    <font>
      <sz val="8"/>
      <name val="Tahoma"/>
      <family val="2"/>
    </font>
    <font>
      <sz val="12"/>
      <name val="Tahoma"/>
      <family val="2"/>
    </font>
    <font>
      <sz val="11"/>
      <color theme="1"/>
      <name val="Calibri"/>
      <family val="2"/>
      <scheme val="minor"/>
    </font>
    <font>
      <b/>
      <sz val="11"/>
      <color theme="1"/>
      <name val="Calibri"/>
      <family val="2"/>
      <scheme val="minor"/>
    </font>
    <font>
      <sz val="10"/>
      <color rgb="FFFF0000"/>
      <name val="Tahoma"/>
      <family val="2"/>
    </font>
    <font>
      <b/>
      <sz val="10"/>
      <color rgb="FFFF0000"/>
      <name val="Tahoma"/>
      <family val="2"/>
    </font>
    <font>
      <b/>
      <sz val="11"/>
      <name val="Calibri"/>
      <family val="2"/>
      <scheme val="minor"/>
    </font>
    <font>
      <sz val="11"/>
      <name val="Calibri"/>
      <family val="2"/>
      <scheme val="minor"/>
    </font>
    <font>
      <sz val="10"/>
      <name val="Calibri"/>
      <family val="2"/>
      <scheme val="minor"/>
    </font>
    <font>
      <u/>
      <sz val="11"/>
      <name val="Calibri"/>
      <family val="2"/>
      <scheme val="minor"/>
    </font>
    <font>
      <b/>
      <u/>
      <sz val="11"/>
      <name val="Calibri"/>
      <family val="2"/>
      <scheme val="minor"/>
    </font>
    <font>
      <b/>
      <sz val="14"/>
      <name val="Calibri"/>
      <family val="2"/>
      <scheme val="minor"/>
    </font>
    <font>
      <b/>
      <sz val="14"/>
      <color rgb="FF4D7BBF"/>
      <name val="Calibri"/>
      <family val="2"/>
      <scheme val="minor"/>
    </font>
    <font>
      <sz val="10"/>
      <color rgb="FFFF0000"/>
      <name val="Arial"/>
      <family val="2"/>
    </font>
    <font>
      <b/>
      <sz val="10"/>
      <color rgb="FF0070C0"/>
      <name val="Tahoma"/>
      <family val="2"/>
    </font>
    <font>
      <b/>
      <sz val="10"/>
      <color rgb="FF7030A0"/>
      <name val="Tahoma"/>
      <family val="2"/>
    </font>
    <font>
      <b/>
      <sz val="8"/>
      <name val="Tahoma"/>
      <family val="2"/>
    </font>
    <font>
      <sz val="10"/>
      <color theme="3"/>
      <name val="Tahoma"/>
      <family val="2"/>
    </font>
  </fonts>
  <fills count="16">
    <fill>
      <patternFill patternType="none"/>
    </fill>
    <fill>
      <patternFill patternType="gray125"/>
    </fill>
    <fill>
      <patternFill patternType="solid">
        <fgColor indexed="43"/>
        <bgColor indexed="64"/>
      </patternFill>
    </fill>
    <fill>
      <patternFill patternType="solid">
        <fgColor theme="4" tint="0.39997558519241921"/>
        <bgColor indexed="64"/>
      </patternFill>
    </fill>
    <fill>
      <patternFill patternType="solid">
        <fgColor rgb="FFFFFF99"/>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8" tint="0.79998168889431442"/>
        <bgColor indexed="64"/>
      </patternFill>
    </fill>
    <fill>
      <patternFill patternType="solid">
        <fgColor rgb="FFEEE8EE"/>
        <bgColor indexed="64"/>
      </patternFill>
    </fill>
    <fill>
      <patternFill patternType="solid">
        <fgColor rgb="FFE7EEEF"/>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99D24E"/>
        <bgColor indexed="64"/>
      </patternFill>
    </fill>
    <fill>
      <patternFill patternType="solid">
        <fgColor rgb="FFCC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40" fontId="1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9" fillId="0" borderId="0"/>
    <xf numFmtId="167" fontId="12" fillId="0" borderId="0"/>
    <xf numFmtId="0" fontId="31" fillId="0" borderId="0"/>
    <xf numFmtId="0" fontId="4" fillId="0" borderId="0"/>
    <xf numFmtId="0" fontId="31" fillId="0" borderId="0"/>
    <xf numFmtId="9" fontId="1" fillId="0" borderId="0" applyFont="0" applyFill="0" applyBorder="0" applyAlignment="0" applyProtection="0"/>
    <xf numFmtId="9" fontId="4" fillId="0" borderId="0" applyFont="0" applyFill="0" applyBorder="0" applyAlignment="0" applyProtection="0"/>
  </cellStyleXfs>
  <cellXfs count="510">
    <xf numFmtId="0" fontId="0" fillId="0" borderId="0" xfId="0"/>
    <xf numFmtId="0" fontId="2" fillId="0" borderId="0" xfId="0" applyFont="1"/>
    <xf numFmtId="0" fontId="4" fillId="0" borderId="0" xfId="0" applyFont="1"/>
    <xf numFmtId="49" fontId="4" fillId="0" borderId="0" xfId="0" applyNumberFormat="1" applyFont="1"/>
    <xf numFmtId="0" fontId="35" fillId="0" borderId="0" xfId="0" applyFont="1"/>
    <xf numFmtId="0" fontId="36" fillId="0" borderId="0" xfId="0" applyFont="1"/>
    <xf numFmtId="0" fontId="21" fillId="0" borderId="0" xfId="0" applyFont="1"/>
    <xf numFmtId="0" fontId="37" fillId="0" borderId="0" xfId="0" applyFont="1"/>
    <xf numFmtId="0" fontId="22" fillId="0" borderId="0" xfId="0" applyFont="1"/>
    <xf numFmtId="0" fontId="38" fillId="0" borderId="0" xfId="0" applyFont="1"/>
    <xf numFmtId="0" fontId="23" fillId="0" borderId="0" xfId="0" applyFont="1"/>
    <xf numFmtId="0" fontId="39" fillId="0" borderId="0" xfId="0" applyFont="1"/>
    <xf numFmtId="0" fontId="40" fillId="0" borderId="0" xfId="0" applyFont="1"/>
    <xf numFmtId="0" fontId="21" fillId="0" borderId="0" xfId="0" applyFont="1" applyAlignment="1">
      <alignment horizontal="left"/>
    </xf>
    <xf numFmtId="0" fontId="41" fillId="0" borderId="0" xfId="0" applyFont="1"/>
    <xf numFmtId="0" fontId="5" fillId="0" borderId="0" xfId="0" applyFont="1"/>
    <xf numFmtId="0" fontId="2" fillId="0" borderId="0" xfId="0" applyFont="1" applyProtection="1">
      <protection hidden="1"/>
    </xf>
    <xf numFmtId="0" fontId="21" fillId="0" borderId="0" xfId="0" applyFont="1" applyProtection="1">
      <protection hidden="1"/>
    </xf>
    <xf numFmtId="0" fontId="27" fillId="0" borderId="0" xfId="0" applyFont="1"/>
    <xf numFmtId="0" fontId="19" fillId="0" borderId="0" xfId="0" applyFont="1"/>
    <xf numFmtId="0" fontId="19" fillId="0" borderId="0" xfId="0" applyFont="1" applyAlignment="1">
      <alignment vertical="center"/>
    </xf>
    <xf numFmtId="0" fontId="27" fillId="0" borderId="0" xfId="0" applyFont="1" applyAlignment="1">
      <alignment vertical="center" wrapText="1"/>
    </xf>
    <xf numFmtId="9" fontId="27" fillId="0" borderId="0" xfId="0" applyNumberFormat="1" applyFont="1" applyAlignment="1">
      <alignment vertical="center" wrapText="1"/>
    </xf>
    <xf numFmtId="9" fontId="19" fillId="0" borderId="0" xfId="0" applyNumberFormat="1" applyFont="1"/>
    <xf numFmtId="0" fontId="20" fillId="3" borderId="0" xfId="0" applyFont="1" applyFill="1" applyProtection="1">
      <protection hidden="1"/>
    </xf>
    <xf numFmtId="0" fontId="0" fillId="3" borderId="0" xfId="0" applyFill="1" applyProtection="1">
      <protection hidden="1"/>
    </xf>
    <xf numFmtId="0" fontId="4" fillId="3" borderId="0" xfId="0" applyFont="1" applyFill="1" applyProtection="1">
      <protection hidden="1"/>
    </xf>
    <xf numFmtId="9" fontId="0" fillId="3" borderId="0" xfId="0" applyNumberFormat="1" applyFill="1" applyProtection="1">
      <protection hidden="1"/>
    </xf>
    <xf numFmtId="0" fontId="4" fillId="0" borderId="0" xfId="0" applyFont="1" applyProtection="1">
      <protection hidden="1"/>
    </xf>
    <xf numFmtId="0" fontId="1" fillId="0" borderId="0" xfId="0" applyFont="1" applyProtection="1">
      <protection hidden="1"/>
    </xf>
    <xf numFmtId="0" fontId="20" fillId="5" borderId="9" xfId="0" applyFont="1" applyFill="1" applyBorder="1" applyProtection="1">
      <protection hidden="1"/>
    </xf>
    <xf numFmtId="0" fontId="0" fillId="5" borderId="8" xfId="0" applyFill="1" applyBorder="1" applyProtection="1">
      <protection hidden="1"/>
    </xf>
    <xf numFmtId="0" fontId="0" fillId="5" borderId="12" xfId="0" applyFill="1" applyBorder="1" applyProtection="1">
      <protection hidden="1"/>
    </xf>
    <xf numFmtId="0" fontId="1" fillId="5" borderId="8" xfId="0" applyFont="1" applyFill="1" applyBorder="1" applyProtection="1">
      <protection hidden="1"/>
    </xf>
    <xf numFmtId="0" fontId="1" fillId="5" borderId="12" xfId="0" applyFont="1" applyFill="1" applyBorder="1" applyProtection="1">
      <protection hidden="1"/>
    </xf>
    <xf numFmtId="0" fontId="2" fillId="0" borderId="1" xfId="9" applyFont="1" applyBorder="1" applyAlignment="1" applyProtection="1">
      <alignment horizontal="center"/>
      <protection hidden="1"/>
    </xf>
    <xf numFmtId="0" fontId="2" fillId="0" borderId="0" xfId="9" applyFont="1" applyAlignment="1" applyProtection="1">
      <alignment vertical="center" wrapText="1"/>
      <protection hidden="1"/>
    </xf>
    <xf numFmtId="0" fontId="5" fillId="0" borderId="0" xfId="0" applyFont="1" applyProtection="1">
      <protection hidden="1"/>
    </xf>
    <xf numFmtId="0" fontId="1" fillId="0" borderId="0" xfId="9" applyFont="1" applyAlignment="1" applyProtection="1">
      <alignment vertical="center" wrapText="1"/>
      <protection hidden="1"/>
    </xf>
    <xf numFmtId="0" fontId="1" fillId="0" borderId="0" xfId="9" applyFont="1" applyProtection="1">
      <protection hidden="1"/>
    </xf>
    <xf numFmtId="0" fontId="45" fillId="0" borderId="0" xfId="9" applyFont="1" applyProtection="1">
      <protection hidden="1"/>
    </xf>
    <xf numFmtId="0" fontId="4" fillId="0" borderId="0" xfId="9" applyProtection="1">
      <protection hidden="1"/>
    </xf>
    <xf numFmtId="0" fontId="4" fillId="3" borderId="0" xfId="9" applyFill="1" applyAlignment="1" applyProtection="1">
      <alignment horizontal="center"/>
      <protection hidden="1"/>
    </xf>
    <xf numFmtId="0" fontId="4" fillId="3" borderId="0" xfId="9" applyFill="1" applyProtection="1">
      <protection hidden="1"/>
    </xf>
    <xf numFmtId="0" fontId="2" fillId="0" borderId="0" xfId="9" applyFont="1" applyProtection="1">
      <protection hidden="1"/>
    </xf>
    <xf numFmtId="0" fontId="4" fillId="3" borderId="0" xfId="9" applyFill="1" applyAlignment="1" applyProtection="1">
      <alignment horizontal="left"/>
      <protection hidden="1"/>
    </xf>
    <xf numFmtId="0" fontId="2" fillId="0" borderId="0" xfId="9" applyFont="1" applyAlignment="1" applyProtection="1">
      <alignment wrapText="1"/>
      <protection hidden="1"/>
    </xf>
    <xf numFmtId="0" fontId="4" fillId="6" borderId="19" xfId="9" applyFill="1" applyBorder="1" applyProtection="1">
      <protection hidden="1"/>
    </xf>
    <xf numFmtId="0" fontId="4" fillId="6" borderId="20" xfId="9" applyFill="1" applyBorder="1" applyAlignment="1" applyProtection="1">
      <alignment horizontal="right"/>
      <protection hidden="1"/>
    </xf>
    <xf numFmtId="0" fontId="4" fillId="6" borderId="20" xfId="9" applyFill="1" applyBorder="1" applyProtection="1">
      <protection hidden="1"/>
    </xf>
    <xf numFmtId="0" fontId="4" fillId="6" borderId="21" xfId="9" applyFill="1" applyBorder="1" applyAlignment="1" applyProtection="1">
      <alignment horizontal="right"/>
      <protection hidden="1"/>
    </xf>
    <xf numFmtId="0" fontId="4" fillId="6" borderId="14" xfId="9" applyFill="1" applyBorder="1" applyProtection="1">
      <protection hidden="1"/>
    </xf>
    <xf numFmtId="164" fontId="4" fillId="7" borderId="15" xfId="9" applyNumberFormat="1" applyFill="1" applyBorder="1" applyProtection="1">
      <protection hidden="1"/>
    </xf>
    <xf numFmtId="44" fontId="4" fillId="3" borderId="0" xfId="9" applyNumberFormat="1" applyFill="1" applyProtection="1">
      <protection hidden="1"/>
    </xf>
    <xf numFmtId="0" fontId="4" fillId="0" borderId="1" xfId="9" applyBorder="1" applyAlignment="1" applyProtection="1">
      <alignment horizontal="center"/>
      <protection hidden="1"/>
    </xf>
    <xf numFmtId="0" fontId="2" fillId="3" borderId="0" xfId="9" applyFont="1" applyFill="1" applyAlignment="1" applyProtection="1">
      <alignment horizontal="center"/>
      <protection hidden="1"/>
    </xf>
    <xf numFmtId="164" fontId="4" fillId="7" borderId="0" xfId="5" applyNumberFormat="1" applyFont="1" applyFill="1" applyBorder="1" applyProtection="1">
      <protection hidden="1"/>
    </xf>
    <xf numFmtId="0" fontId="4" fillId="0" borderId="2" xfId="9" applyBorder="1" applyProtection="1">
      <protection hidden="1"/>
    </xf>
    <xf numFmtId="0" fontId="4" fillId="0" borderId="7" xfId="9" applyBorder="1" applyProtection="1">
      <protection hidden="1"/>
    </xf>
    <xf numFmtId="0" fontId="4" fillId="6" borderId="16" xfId="9" applyFill="1" applyBorder="1" applyProtection="1">
      <protection hidden="1"/>
    </xf>
    <xf numFmtId="0" fontId="4" fillId="6" borderId="17" xfId="9" applyFill="1" applyBorder="1" applyProtection="1">
      <protection hidden="1"/>
    </xf>
    <xf numFmtId="164" fontId="4" fillId="7" borderId="18" xfId="9" applyNumberFormat="1" applyFill="1" applyBorder="1" applyProtection="1">
      <protection hidden="1"/>
    </xf>
    <xf numFmtId="164" fontId="4" fillId="3" borderId="0" xfId="9" applyNumberFormat="1" applyFill="1" applyProtection="1">
      <protection hidden="1"/>
    </xf>
    <xf numFmtId="0" fontId="2" fillId="7" borderId="0" xfId="9" applyFont="1" applyFill="1" applyProtection="1">
      <protection hidden="1"/>
    </xf>
    <xf numFmtId="0" fontId="4" fillId="7" borderId="0" xfId="9" applyFill="1" applyProtection="1">
      <protection hidden="1"/>
    </xf>
    <xf numFmtId="0" fontId="4" fillId="0" borderId="0" xfId="9" applyAlignment="1" applyProtection="1">
      <alignment horizontal="center" vertical="center" wrapText="1"/>
      <protection hidden="1"/>
    </xf>
    <xf numFmtId="0" fontId="5" fillId="3" borderId="0" xfId="9" applyFont="1" applyFill="1" applyProtection="1">
      <protection hidden="1"/>
    </xf>
    <xf numFmtId="0" fontId="2" fillId="3" borderId="0" xfId="9" applyFont="1" applyFill="1" applyProtection="1">
      <protection hidden="1"/>
    </xf>
    <xf numFmtId="9" fontId="4" fillId="0" borderId="0" xfId="9" applyNumberFormat="1" applyAlignment="1" applyProtection="1">
      <alignment horizontal="center" vertical="center" wrapText="1"/>
      <protection hidden="1"/>
    </xf>
    <xf numFmtId="44" fontId="4" fillId="3" borderId="0" xfId="5" applyFont="1" applyFill="1" applyBorder="1" applyProtection="1">
      <protection hidden="1"/>
    </xf>
    <xf numFmtId="44" fontId="4" fillId="7" borderId="0" xfId="5" applyFont="1" applyFill="1" applyBorder="1" applyProtection="1">
      <protection hidden="1"/>
    </xf>
    <xf numFmtId="44" fontId="4" fillId="3" borderId="0" xfId="5" applyFont="1" applyFill="1" applyProtection="1">
      <protection hidden="1"/>
    </xf>
    <xf numFmtId="0" fontId="4" fillId="3" borderId="0" xfId="9" applyFill="1" applyAlignment="1" applyProtection="1">
      <alignment horizontal="right"/>
      <protection hidden="1"/>
    </xf>
    <xf numFmtId="1" fontId="33" fillId="0" borderId="0" xfId="9" applyNumberFormat="1" applyFont="1" applyProtection="1">
      <protection hidden="1"/>
    </xf>
    <xf numFmtId="0" fontId="33" fillId="3" borderId="0" xfId="9" applyFont="1" applyFill="1" applyProtection="1">
      <protection hidden="1"/>
    </xf>
    <xf numFmtId="44" fontId="33" fillId="3" borderId="0" xfId="5" applyFont="1" applyFill="1" applyProtection="1">
      <protection hidden="1"/>
    </xf>
    <xf numFmtId="1" fontId="4" fillId="0" borderId="0" xfId="9" applyNumberFormat="1" applyProtection="1">
      <protection hidden="1"/>
    </xf>
    <xf numFmtId="0" fontId="4" fillId="0" borderId="0" xfId="9" applyAlignment="1" applyProtection="1">
      <alignment vertical="center" wrapText="1"/>
      <protection hidden="1"/>
    </xf>
    <xf numFmtId="44" fontId="4" fillId="0" borderId="0" xfId="5" applyFont="1" applyProtection="1">
      <protection hidden="1"/>
    </xf>
    <xf numFmtId="169" fontId="4" fillId="0" borderId="0" xfId="9" applyNumberFormat="1" applyProtection="1">
      <protection hidden="1"/>
    </xf>
    <xf numFmtId="44" fontId="4" fillId="0" borderId="0" xfId="9" applyNumberFormat="1" applyProtection="1">
      <protection hidden="1"/>
    </xf>
    <xf numFmtId="44" fontId="2" fillId="3" borderId="0" xfId="5" applyFont="1" applyFill="1" applyProtection="1">
      <protection hidden="1"/>
    </xf>
    <xf numFmtId="0" fontId="4" fillId="6" borderId="0" xfId="9" applyFill="1" applyProtection="1">
      <protection hidden="1"/>
    </xf>
    <xf numFmtId="44" fontId="4" fillId="6" borderId="0" xfId="5" applyFont="1" applyFill="1" applyProtection="1">
      <protection hidden="1"/>
    </xf>
    <xf numFmtId="43" fontId="4" fillId="0" borderId="0" xfId="9" applyNumberFormat="1" applyProtection="1">
      <protection hidden="1"/>
    </xf>
    <xf numFmtId="164" fontId="4" fillId="0" borderId="0" xfId="5" applyNumberFormat="1" applyFont="1" applyProtection="1">
      <protection hidden="1"/>
    </xf>
    <xf numFmtId="0" fontId="33" fillId="6" borderId="0" xfId="9" applyFont="1" applyFill="1" applyProtection="1">
      <protection hidden="1"/>
    </xf>
    <xf numFmtId="44" fontId="4" fillId="6" borderId="0" xfId="9" applyNumberFormat="1" applyFill="1" applyProtection="1">
      <protection hidden="1"/>
    </xf>
    <xf numFmtId="0" fontId="33" fillId="0" borderId="0" xfId="9" applyFont="1" applyProtection="1">
      <protection hidden="1"/>
    </xf>
    <xf numFmtId="0" fontId="2" fillId="0" borderId="0" xfId="9" applyFont="1" applyAlignment="1" applyProtection="1">
      <alignment vertical="center"/>
      <protection hidden="1"/>
    </xf>
    <xf numFmtId="44" fontId="2" fillId="3" borderId="0" xfId="5" applyFont="1" applyFill="1" applyAlignment="1" applyProtection="1">
      <alignment horizontal="center"/>
      <protection hidden="1"/>
    </xf>
    <xf numFmtId="0" fontId="4" fillId="7" borderId="9" xfId="9" applyFill="1" applyBorder="1" applyProtection="1">
      <protection hidden="1"/>
    </xf>
    <xf numFmtId="0" fontId="20" fillId="7" borderId="10" xfId="9" applyFont="1" applyFill="1" applyBorder="1" applyProtection="1">
      <protection hidden="1"/>
    </xf>
    <xf numFmtId="0" fontId="4" fillId="7" borderId="10" xfId="9" applyFill="1" applyBorder="1" applyProtection="1">
      <protection hidden="1"/>
    </xf>
    <xf numFmtId="0" fontId="4" fillId="7" borderId="11" xfId="9" applyFill="1" applyBorder="1" applyProtection="1">
      <protection hidden="1"/>
    </xf>
    <xf numFmtId="0" fontId="4" fillId="7" borderId="8" xfId="9" applyFill="1" applyBorder="1" applyProtection="1">
      <protection hidden="1"/>
    </xf>
    <xf numFmtId="0" fontId="4" fillId="7" borderId="5" xfId="9" applyFill="1" applyBorder="1" applyProtection="1">
      <protection hidden="1"/>
    </xf>
    <xf numFmtId="0" fontId="20" fillId="7" borderId="0" xfId="9" applyFont="1" applyFill="1" applyAlignment="1" applyProtection="1">
      <alignment horizontal="center"/>
      <protection hidden="1"/>
    </xf>
    <xf numFmtId="0" fontId="20" fillId="7" borderId="5" xfId="9" applyFont="1" applyFill="1" applyBorder="1" applyAlignment="1" applyProtection="1">
      <alignment horizontal="center"/>
      <protection hidden="1"/>
    </xf>
    <xf numFmtId="44" fontId="4" fillId="7" borderId="0" xfId="4" applyFont="1" applyFill="1" applyBorder="1" applyProtection="1">
      <protection hidden="1"/>
    </xf>
    <xf numFmtId="44" fontId="4" fillId="7" borderId="5" xfId="4" applyFont="1" applyFill="1" applyBorder="1" applyProtection="1">
      <protection hidden="1"/>
    </xf>
    <xf numFmtId="0" fontId="4" fillId="7" borderId="8" xfId="9" applyFill="1" applyBorder="1" applyAlignment="1" applyProtection="1">
      <alignment horizontal="left"/>
      <protection hidden="1"/>
    </xf>
    <xf numFmtId="44" fontId="4" fillId="7" borderId="10" xfId="4" applyFont="1" applyFill="1" applyBorder="1" applyProtection="1">
      <protection hidden="1"/>
    </xf>
    <xf numFmtId="44" fontId="4" fillId="7" borderId="11" xfId="4" applyFont="1" applyFill="1" applyBorder="1" applyProtection="1">
      <protection hidden="1"/>
    </xf>
    <xf numFmtId="8" fontId="4" fillId="7" borderId="0" xfId="9" applyNumberFormat="1" applyFill="1" applyProtection="1">
      <protection hidden="1"/>
    </xf>
    <xf numFmtId="164" fontId="4" fillId="0" borderId="0" xfId="9" applyNumberFormat="1" applyProtection="1">
      <protection hidden="1"/>
    </xf>
    <xf numFmtId="0" fontId="4" fillId="7" borderId="12" xfId="9" applyFill="1" applyBorder="1" applyProtection="1">
      <protection hidden="1"/>
    </xf>
    <xf numFmtId="44" fontId="4" fillId="7" borderId="4" xfId="4" applyFont="1" applyFill="1" applyBorder="1" applyProtection="1">
      <protection hidden="1"/>
    </xf>
    <xf numFmtId="0" fontId="4" fillId="7" borderId="4" xfId="9" applyFill="1" applyBorder="1" applyProtection="1">
      <protection hidden="1"/>
    </xf>
    <xf numFmtId="44" fontId="4" fillId="7" borderId="6" xfId="4" applyFont="1" applyFill="1" applyBorder="1" applyProtection="1">
      <protection hidden="1"/>
    </xf>
    <xf numFmtId="44" fontId="4" fillId="3" borderId="0" xfId="5" applyFont="1" applyFill="1" applyBorder="1" applyAlignment="1" applyProtection="1">
      <alignment horizontal="center"/>
      <protection hidden="1"/>
    </xf>
    <xf numFmtId="0" fontId="5" fillId="3" borderId="0" xfId="0" applyFont="1" applyFill="1" applyProtection="1">
      <protection hidden="1"/>
    </xf>
    <xf numFmtId="9" fontId="4" fillId="3" borderId="0" xfId="11" applyFont="1" applyFill="1" applyAlignment="1" applyProtection="1">
      <alignment horizontal="center"/>
      <protection hidden="1"/>
    </xf>
    <xf numFmtId="0" fontId="2" fillId="3" borderId="0" xfId="9" applyFont="1" applyFill="1" applyAlignment="1" applyProtection="1">
      <alignment horizontal="left"/>
      <protection hidden="1"/>
    </xf>
    <xf numFmtId="10" fontId="4" fillId="3" borderId="0" xfId="12" applyNumberFormat="1" applyFont="1" applyFill="1" applyBorder="1" applyAlignment="1" applyProtection="1">
      <alignment horizontal="center"/>
      <protection hidden="1"/>
    </xf>
    <xf numFmtId="0" fontId="4" fillId="3" borderId="0" xfId="0" applyFont="1" applyFill="1" applyAlignment="1" applyProtection="1">
      <alignment horizontal="left"/>
      <protection hidden="1"/>
    </xf>
    <xf numFmtId="0" fontId="20" fillId="3" borderId="0" xfId="9" applyFont="1" applyFill="1" applyProtection="1">
      <protection hidden="1"/>
    </xf>
    <xf numFmtId="9" fontId="4" fillId="3" borderId="0" xfId="11" applyFont="1" applyFill="1" applyBorder="1" applyAlignment="1" applyProtection="1">
      <alignment horizontal="center"/>
      <protection hidden="1"/>
    </xf>
    <xf numFmtId="0" fontId="4" fillId="5" borderId="9" xfId="9" applyFill="1" applyBorder="1" applyProtection="1">
      <protection hidden="1"/>
    </xf>
    <xf numFmtId="0" fontId="4" fillId="5" borderId="11" xfId="9" applyFill="1" applyBorder="1" applyProtection="1">
      <protection hidden="1"/>
    </xf>
    <xf numFmtId="44" fontId="4" fillId="5" borderId="12" xfId="9" applyNumberFormat="1" applyFill="1" applyBorder="1" applyProtection="1">
      <protection hidden="1"/>
    </xf>
    <xf numFmtId="0" fontId="4" fillId="5" borderId="6" xfId="9" applyFill="1" applyBorder="1" applyProtection="1">
      <protection hidden="1"/>
    </xf>
    <xf numFmtId="0" fontId="5" fillId="3" borderId="0" xfId="9" applyFont="1" applyFill="1" applyAlignment="1" applyProtection="1">
      <alignment horizontal="center"/>
      <protection hidden="1"/>
    </xf>
    <xf numFmtId="0" fontId="20" fillId="6" borderId="0" xfId="9" applyFont="1" applyFill="1" applyProtection="1">
      <protection hidden="1"/>
    </xf>
    <xf numFmtId="44" fontId="26" fillId="6" borderId="0" xfId="5" applyFont="1" applyFill="1" applyBorder="1" applyAlignment="1" applyProtection="1">
      <alignment horizontal="center"/>
      <protection hidden="1"/>
    </xf>
    <xf numFmtId="0" fontId="4" fillId="6" borderId="0" xfId="9" applyFill="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 fillId="3" borderId="0" xfId="0" applyFont="1" applyFill="1" applyAlignment="1" applyProtection="1">
      <alignment horizontal="center"/>
      <protection hidden="1"/>
    </xf>
    <xf numFmtId="44" fontId="0" fillId="0" borderId="0" xfId="4" applyFont="1" applyProtection="1">
      <protection hidden="1"/>
    </xf>
    <xf numFmtId="0" fontId="1" fillId="3" borderId="0" xfId="0" applyFont="1" applyFill="1" applyProtection="1">
      <protection hidden="1"/>
    </xf>
    <xf numFmtId="0" fontId="19" fillId="0" borderId="0" xfId="0" applyFont="1" applyAlignment="1" applyProtection="1">
      <alignment vertical="center"/>
      <protection hidden="1"/>
    </xf>
    <xf numFmtId="0" fontId="30" fillId="0" borderId="0" xfId="0" applyFont="1" applyAlignment="1" applyProtection="1">
      <alignment horizontal="left"/>
      <protection hidden="1"/>
    </xf>
    <xf numFmtId="166" fontId="1" fillId="3" borderId="1" xfId="11" applyNumberFormat="1" applyFont="1" applyFill="1" applyBorder="1" applyAlignment="1" applyProtection="1">
      <alignment horizontal="center"/>
      <protection hidden="1"/>
    </xf>
    <xf numFmtId="9" fontId="1" fillId="3" borderId="1" xfId="11" applyFont="1" applyFill="1" applyBorder="1" applyAlignment="1" applyProtection="1">
      <alignment horizontal="center"/>
      <protection hidden="1"/>
    </xf>
    <xf numFmtId="0" fontId="0" fillId="3" borderId="0" xfId="0" applyFill="1" applyAlignment="1" applyProtection="1">
      <alignment horizontal="center"/>
      <protection hidden="1"/>
    </xf>
    <xf numFmtId="44" fontId="0" fillId="3" borderId="0" xfId="0" applyNumberFormat="1" applyFill="1" applyProtection="1">
      <protection hidden="1"/>
    </xf>
    <xf numFmtId="0" fontId="9" fillId="3" borderId="0" xfId="10" applyFont="1" applyFill="1" applyAlignment="1" applyProtection="1">
      <alignment horizontal="center"/>
      <protection hidden="1"/>
    </xf>
    <xf numFmtId="0" fontId="4" fillId="0" borderId="0" xfId="0" applyFont="1" applyAlignment="1" applyProtection="1">
      <alignment horizontal="center"/>
      <protection hidden="1"/>
    </xf>
    <xf numFmtId="0" fontId="0" fillId="3" borderId="0" xfId="0" quotePrefix="1" applyFill="1" applyProtection="1">
      <protection hidden="1"/>
    </xf>
    <xf numFmtId="10" fontId="25" fillId="3" borderId="0" xfId="11" applyNumberFormat="1" applyFont="1" applyFill="1" applyProtection="1">
      <protection hidden="1"/>
    </xf>
    <xf numFmtId="1" fontId="0" fillId="3" borderId="0" xfId="0" applyNumberFormat="1" applyFill="1" applyProtection="1">
      <protection hidden="1"/>
    </xf>
    <xf numFmtId="44" fontId="0" fillId="0" borderId="1" xfId="4" applyFont="1" applyFill="1" applyBorder="1" applyProtection="1">
      <protection hidden="1"/>
    </xf>
    <xf numFmtId="0" fontId="0" fillId="0" borderId="1" xfId="0" applyBorder="1" applyAlignment="1" applyProtection="1">
      <alignment horizontal="center"/>
      <protection hidden="1"/>
    </xf>
    <xf numFmtId="164" fontId="1" fillId="3" borderId="0" xfId="4" applyNumberFormat="1" applyFont="1" applyFill="1" applyProtection="1">
      <protection hidden="1"/>
    </xf>
    <xf numFmtId="0" fontId="0" fillId="3" borderId="0" xfId="0" applyFill="1" applyAlignment="1" applyProtection="1">
      <alignment horizontal="right"/>
      <protection hidden="1"/>
    </xf>
    <xf numFmtId="0" fontId="5" fillId="6" borderId="0" xfId="0" applyFont="1" applyFill="1" applyProtection="1">
      <protection hidden="1"/>
    </xf>
    <xf numFmtId="0" fontId="0" fillId="6" borderId="0" xfId="0" applyFill="1" applyProtection="1">
      <protection hidden="1"/>
    </xf>
    <xf numFmtId="0" fontId="2" fillId="6" borderId="0" xfId="0" applyFont="1" applyFill="1" applyProtection="1">
      <protection hidden="1"/>
    </xf>
    <xf numFmtId="44" fontId="0" fillId="0" borderId="1" xfId="4" applyFont="1" applyBorder="1" applyProtection="1">
      <protection hidden="1"/>
    </xf>
    <xf numFmtId="44" fontId="0" fillId="0" borderId="0" xfId="0" applyNumberFormat="1" applyAlignment="1" applyProtection="1">
      <alignment horizontal="center"/>
      <protection hidden="1"/>
    </xf>
    <xf numFmtId="0" fontId="0" fillId="3" borderId="0" xfId="0" applyFill="1" applyAlignment="1" applyProtection="1">
      <alignment horizontal="left"/>
      <protection hidden="1"/>
    </xf>
    <xf numFmtId="0" fontId="8" fillId="3" borderId="0" xfId="0" applyFont="1" applyFill="1" applyProtection="1">
      <protection hidden="1"/>
    </xf>
    <xf numFmtId="0" fontId="9" fillId="3" borderId="0" xfId="0" applyFont="1" applyFill="1" applyProtection="1">
      <protection hidden="1"/>
    </xf>
    <xf numFmtId="0" fontId="42" fillId="3" borderId="0" xfId="0" applyFont="1" applyFill="1" applyAlignment="1" applyProtection="1">
      <alignment horizontal="center"/>
      <protection hidden="1"/>
    </xf>
    <xf numFmtId="0" fontId="9" fillId="3" borderId="0" xfId="0" applyFont="1" applyFill="1" applyAlignment="1" applyProtection="1">
      <alignment horizontal="center"/>
      <protection hidden="1"/>
    </xf>
    <xf numFmtId="0" fontId="32" fillId="3" borderId="0" xfId="0" applyFont="1" applyFill="1" applyAlignment="1" applyProtection="1">
      <alignment horizontal="center"/>
      <protection hidden="1"/>
    </xf>
    <xf numFmtId="0" fontId="42" fillId="3" borderId="0" xfId="0" applyFont="1" applyFill="1" applyProtection="1">
      <protection hidden="1"/>
    </xf>
    <xf numFmtId="44" fontId="42" fillId="3" borderId="0" xfId="4" applyFont="1" applyFill="1" applyBorder="1" applyAlignment="1" applyProtection="1">
      <alignment horizontal="center"/>
      <protection hidden="1"/>
    </xf>
    <xf numFmtId="44" fontId="9" fillId="3" borderId="0" xfId="4" applyFont="1" applyFill="1" applyBorder="1" applyAlignment="1" applyProtection="1">
      <alignment horizontal="center"/>
      <protection hidden="1"/>
    </xf>
    <xf numFmtId="0" fontId="24" fillId="3" borderId="0" xfId="0" applyFont="1" applyFill="1" applyAlignment="1" applyProtection="1">
      <alignment horizontal="left"/>
      <protection hidden="1"/>
    </xf>
    <xf numFmtId="164" fontId="42" fillId="5" borderId="9" xfId="5" applyNumberFormat="1" applyFont="1" applyFill="1" applyBorder="1" applyProtection="1">
      <protection hidden="1"/>
    </xf>
    <xf numFmtId="0" fontId="9" fillId="5" borderId="10" xfId="0" applyFont="1" applyFill="1" applyBorder="1" applyAlignment="1" applyProtection="1">
      <alignment horizontal="center"/>
      <protection hidden="1"/>
    </xf>
    <xf numFmtId="0" fontId="9" fillId="5" borderId="10" xfId="0" applyFont="1" applyFill="1" applyBorder="1" applyProtection="1">
      <protection hidden="1"/>
    </xf>
    <xf numFmtId="0" fontId="42" fillId="5" borderId="10" xfId="0" applyFont="1" applyFill="1" applyBorder="1" applyProtection="1">
      <protection hidden="1"/>
    </xf>
    <xf numFmtId="0" fontId="9" fillId="5" borderId="11" xfId="0" applyFont="1" applyFill="1" applyBorder="1" applyProtection="1">
      <protection hidden="1"/>
    </xf>
    <xf numFmtId="0" fontId="32" fillId="3" borderId="4" xfId="0" applyFont="1" applyFill="1" applyBorder="1" applyAlignment="1" applyProtection="1">
      <alignment horizontal="left"/>
      <protection hidden="1"/>
    </xf>
    <xf numFmtId="0" fontId="0" fillId="3" borderId="4" xfId="0" applyFill="1" applyBorder="1" applyAlignment="1" applyProtection="1">
      <alignment horizontal="center"/>
      <protection hidden="1"/>
    </xf>
    <xf numFmtId="0" fontId="9" fillId="3" borderId="0" xfId="0" applyFont="1" applyFill="1" applyAlignment="1" applyProtection="1">
      <alignment horizontal="left"/>
      <protection hidden="1"/>
    </xf>
    <xf numFmtId="44" fontId="33" fillId="6" borderId="8" xfId="5" applyFont="1" applyFill="1" applyBorder="1" applyAlignment="1" applyProtection="1">
      <alignment horizontal="right" vertical="center"/>
      <protection hidden="1"/>
    </xf>
    <xf numFmtId="44" fontId="4" fillId="6" borderId="0" xfId="5" applyFont="1" applyFill="1" applyBorder="1" applyAlignment="1" applyProtection="1">
      <alignment horizontal="right" vertical="center"/>
      <protection hidden="1"/>
    </xf>
    <xf numFmtId="44" fontId="33" fillId="6" borderId="0" xfId="5" applyFont="1" applyFill="1" applyBorder="1" applyAlignment="1" applyProtection="1">
      <alignment horizontal="right" vertical="center"/>
      <protection hidden="1"/>
    </xf>
    <xf numFmtId="44" fontId="4" fillId="6" borderId="5" xfId="5" applyFont="1" applyFill="1" applyBorder="1" applyAlignment="1" applyProtection="1">
      <alignment horizontal="right" vertical="center"/>
      <protection hidden="1"/>
    </xf>
    <xf numFmtId="44" fontId="8" fillId="3" borderId="0" xfId="4" applyFont="1" applyFill="1" applyBorder="1" applyProtection="1">
      <protection hidden="1"/>
    </xf>
    <xf numFmtId="0" fontId="0" fillId="5" borderId="9" xfId="0" applyFill="1" applyBorder="1" applyAlignment="1" applyProtection="1">
      <alignment horizontal="center"/>
      <protection hidden="1"/>
    </xf>
    <xf numFmtId="0" fontId="0" fillId="5" borderId="11" xfId="0" applyFill="1" applyBorder="1" applyAlignment="1" applyProtection="1">
      <alignment horizontal="right"/>
      <protection hidden="1"/>
    </xf>
    <xf numFmtId="0" fontId="0" fillId="5" borderId="12" xfId="0" applyFill="1" applyBorder="1" applyAlignment="1" applyProtection="1">
      <alignment horizontal="center"/>
      <protection hidden="1"/>
    </xf>
    <xf numFmtId="0" fontId="0" fillId="5" borderId="6" xfId="0" applyFill="1" applyBorder="1" applyAlignment="1" applyProtection="1">
      <alignment horizontal="right"/>
      <protection hidden="1"/>
    </xf>
    <xf numFmtId="0" fontId="4" fillId="0" borderId="0" xfId="0" applyFont="1" applyAlignment="1" applyProtection="1">
      <alignment vertical="center" wrapText="1"/>
      <protection hidden="1"/>
    </xf>
    <xf numFmtId="0" fontId="0" fillId="0" borderId="0" xfId="0" applyAlignment="1" applyProtection="1">
      <alignment vertical="center" wrapText="1"/>
      <protection hidden="1"/>
    </xf>
    <xf numFmtId="0" fontId="4" fillId="5" borderId="9" xfId="0" applyFont="1" applyFill="1" applyBorder="1" applyAlignment="1" applyProtection="1">
      <alignment horizontal="right"/>
      <protection hidden="1"/>
    </xf>
    <xf numFmtId="0" fontId="20" fillId="5" borderId="10" xfId="0" applyFont="1" applyFill="1" applyBorder="1" applyAlignment="1" applyProtection="1">
      <alignment horizontal="right"/>
      <protection hidden="1"/>
    </xf>
    <xf numFmtId="0" fontId="0" fillId="5" borderId="11" xfId="0" applyFill="1" applyBorder="1" applyProtection="1">
      <protection hidden="1"/>
    </xf>
    <xf numFmtId="0" fontId="2" fillId="0" borderId="0" xfId="4" applyNumberFormat="1" applyFont="1" applyProtection="1">
      <protection hidden="1"/>
    </xf>
    <xf numFmtId="164" fontId="1" fillId="3" borderId="0" xfId="4" applyNumberFormat="1" applyFont="1" applyFill="1" applyAlignment="1" applyProtection="1">
      <alignment horizontal="left"/>
      <protection hidden="1"/>
    </xf>
    <xf numFmtId="0" fontId="0" fillId="5" borderId="0" xfId="0" applyFill="1" applyProtection="1">
      <protection hidden="1"/>
    </xf>
    <xf numFmtId="0" fontId="0" fillId="5" borderId="5" xfId="0" applyFill="1" applyBorder="1" applyProtection="1">
      <protection hidden="1"/>
    </xf>
    <xf numFmtId="0" fontId="44" fillId="0" borderId="0" xfId="0" applyFont="1" applyProtection="1">
      <protection hidden="1"/>
    </xf>
    <xf numFmtId="0" fontId="4" fillId="5" borderId="12" xfId="0" applyFont="1" applyFill="1" applyBorder="1" applyProtection="1">
      <protection hidden="1"/>
    </xf>
    <xf numFmtId="0" fontId="0" fillId="5" borderId="4" xfId="0" applyFill="1" applyBorder="1" applyProtection="1">
      <protection hidden="1"/>
    </xf>
    <xf numFmtId="0" fontId="0" fillId="5" borderId="6" xfId="0" applyFill="1" applyBorder="1" applyProtection="1">
      <protection hidden="1"/>
    </xf>
    <xf numFmtId="0" fontId="42" fillId="5" borderId="12" xfId="0" applyFont="1" applyFill="1" applyBorder="1" applyProtection="1">
      <protection hidden="1"/>
    </xf>
    <xf numFmtId="0" fontId="9" fillId="5" borderId="4" xfId="0" applyFont="1" applyFill="1" applyBorder="1" applyProtection="1">
      <protection hidden="1"/>
    </xf>
    <xf numFmtId="0" fontId="33" fillId="5" borderId="4" xfId="0" applyFont="1" applyFill="1" applyBorder="1" applyProtection="1">
      <protection hidden="1"/>
    </xf>
    <xf numFmtId="44" fontId="0" fillId="2" borderId="1" xfId="4" applyFont="1" applyFill="1" applyBorder="1" applyProtection="1">
      <protection locked="0" hidden="1"/>
    </xf>
    <xf numFmtId="0" fontId="24" fillId="3" borderId="0" xfId="0" applyFont="1" applyFill="1" applyProtection="1">
      <protection hidden="1"/>
    </xf>
    <xf numFmtId="0" fontId="0" fillId="3" borderId="8" xfId="0" applyFill="1" applyBorder="1" applyAlignment="1" applyProtection="1">
      <alignment horizontal="left"/>
      <protection hidden="1"/>
    </xf>
    <xf numFmtId="0" fontId="0" fillId="3" borderId="5" xfId="0" applyFill="1" applyBorder="1" applyAlignment="1" applyProtection="1">
      <alignment horizontal="center"/>
      <protection hidden="1"/>
    </xf>
    <xf numFmtId="44" fontId="42" fillId="3" borderId="0" xfId="4" applyFont="1" applyFill="1" applyBorder="1" applyProtection="1">
      <protection hidden="1"/>
    </xf>
    <xf numFmtId="44" fontId="9" fillId="3" borderId="0" xfId="4" applyFont="1" applyFill="1" applyBorder="1" applyProtection="1">
      <protection hidden="1"/>
    </xf>
    <xf numFmtId="9" fontId="0" fillId="0" borderId="1" xfId="11" applyFont="1" applyBorder="1" applyAlignment="1" applyProtection="1">
      <alignment horizontal="center"/>
      <protection hidden="1"/>
    </xf>
    <xf numFmtId="9" fontId="0" fillId="0" borderId="1" xfId="11" applyFont="1" applyFill="1" applyBorder="1" applyAlignment="1" applyProtection="1">
      <alignment horizontal="center"/>
      <protection hidden="1"/>
    </xf>
    <xf numFmtId="0" fontId="0" fillId="8" borderId="24" xfId="0" applyFill="1" applyBorder="1" applyProtection="1">
      <protection hidden="1"/>
    </xf>
    <xf numFmtId="44" fontId="10" fillId="0" borderId="0" xfId="4" applyFont="1" applyFill="1" applyProtection="1">
      <protection hidden="1"/>
    </xf>
    <xf numFmtId="44" fontId="0" fillId="0" borderId="0" xfId="0" applyNumberFormat="1" applyProtection="1">
      <protection hidden="1"/>
    </xf>
    <xf numFmtId="0" fontId="0" fillId="3" borderId="12" xfId="0" applyFill="1" applyBorder="1" applyProtection="1">
      <protection hidden="1"/>
    </xf>
    <xf numFmtId="0" fontId="0" fillId="3" borderId="6" xfId="0" applyFill="1" applyBorder="1" applyAlignment="1" applyProtection="1">
      <alignment horizontal="center"/>
      <protection hidden="1"/>
    </xf>
    <xf numFmtId="0" fontId="4" fillId="0" borderId="0" xfId="0" applyFont="1" applyAlignment="1" applyProtection="1">
      <alignment horizontal="left"/>
      <protection hidden="1"/>
    </xf>
    <xf numFmtId="0" fontId="4" fillId="0" borderId="5" xfId="0" applyFont="1" applyBorder="1" applyAlignment="1" applyProtection="1">
      <alignment horizontal="left"/>
      <protection hidden="1"/>
    </xf>
    <xf numFmtId="0" fontId="4" fillId="6" borderId="0" xfId="0" applyFont="1" applyFill="1" applyProtection="1">
      <protection hidden="1"/>
    </xf>
    <xf numFmtId="0" fontId="4" fillId="0" borderId="0" xfId="0" applyFont="1" applyAlignment="1" applyProtection="1">
      <alignment horizontal="right"/>
      <protection hidden="1"/>
    </xf>
    <xf numFmtId="44" fontId="1" fillId="0" borderId="0" xfId="4" applyFont="1" applyFill="1" applyBorder="1" applyProtection="1">
      <protection hidden="1"/>
    </xf>
    <xf numFmtId="0" fontId="0" fillId="5" borderId="9" xfId="0" applyFill="1" applyBorder="1" applyProtection="1">
      <protection hidden="1"/>
    </xf>
    <xf numFmtId="0" fontId="0" fillId="5" borderId="10" xfId="0" applyFill="1" applyBorder="1" applyProtection="1">
      <protection hidden="1"/>
    </xf>
    <xf numFmtId="44" fontId="1" fillId="0" borderId="0" xfId="4" applyFont="1" applyFill="1" applyProtection="1">
      <protection hidden="1"/>
    </xf>
    <xf numFmtId="44" fontId="4" fillId="6" borderId="22" xfId="4" applyFont="1" applyFill="1" applyBorder="1" applyAlignment="1" applyProtection="1">
      <alignment horizontal="right" vertical="center"/>
      <protection hidden="1"/>
    </xf>
    <xf numFmtId="0" fontId="0" fillId="5" borderId="5" xfId="0" applyFill="1" applyBorder="1" applyAlignment="1" applyProtection="1">
      <alignment horizontal="center"/>
      <protection hidden="1"/>
    </xf>
    <xf numFmtId="44" fontId="4" fillId="6" borderId="23" xfId="4" applyFont="1" applyFill="1" applyBorder="1" applyAlignment="1" applyProtection="1">
      <alignment horizontal="right" vertical="center"/>
      <protection hidden="1"/>
    </xf>
    <xf numFmtId="0" fontId="46" fillId="0" borderId="0" xfId="0" applyFont="1" applyProtection="1">
      <protection hidden="1"/>
    </xf>
    <xf numFmtId="44" fontId="0" fillId="5" borderId="5" xfId="0" applyNumberFormat="1" applyFill="1" applyBorder="1" applyProtection="1">
      <protection hidden="1"/>
    </xf>
    <xf numFmtId="44" fontId="0" fillId="5" borderId="6" xfId="0" applyNumberFormat="1" applyFill="1" applyBorder="1" applyProtection="1">
      <protection hidden="1"/>
    </xf>
    <xf numFmtId="44" fontId="4" fillId="6" borderId="3" xfId="4" applyFont="1" applyFill="1" applyBorder="1" applyAlignment="1" applyProtection="1">
      <alignment horizontal="right" vertical="center"/>
      <protection hidden="1"/>
    </xf>
    <xf numFmtId="44" fontId="4" fillId="0" borderId="1" xfId="0" applyNumberFormat="1" applyFont="1" applyBorder="1" applyProtection="1">
      <protection hidden="1"/>
    </xf>
    <xf numFmtId="0" fontId="33" fillId="3" borderId="0" xfId="0" applyFont="1" applyFill="1" applyProtection="1">
      <protection hidden="1"/>
    </xf>
    <xf numFmtId="0" fontId="2" fillId="3" borderId="0" xfId="0" applyFont="1" applyFill="1" applyProtection="1">
      <protection hidden="1"/>
    </xf>
    <xf numFmtId="2" fontId="2" fillId="3" borderId="0" xfId="0" applyNumberFormat="1" applyFont="1" applyFill="1" applyProtection="1">
      <protection hidden="1"/>
    </xf>
    <xf numFmtId="44" fontId="4" fillId="0" borderId="0" xfId="0" applyNumberFormat="1" applyFont="1" applyAlignment="1" applyProtection="1">
      <alignment horizontal="center"/>
      <protection hidden="1"/>
    </xf>
    <xf numFmtId="2" fontId="4" fillId="3" borderId="0" xfId="0" applyNumberFormat="1" applyFont="1" applyFill="1" applyProtection="1">
      <protection hidden="1"/>
    </xf>
    <xf numFmtId="44" fontId="4" fillId="6" borderId="22" xfId="0" applyNumberFormat="1" applyFont="1" applyFill="1" applyBorder="1" applyProtection="1">
      <protection hidden="1"/>
    </xf>
    <xf numFmtId="44" fontId="4" fillId="6" borderId="23" xfId="0" applyNumberFormat="1" applyFont="1" applyFill="1" applyBorder="1" applyProtection="1">
      <protection hidden="1"/>
    </xf>
    <xf numFmtId="44" fontId="2" fillId="0" borderId="0" xfId="0" applyNumberFormat="1" applyFont="1" applyProtection="1">
      <protection hidden="1"/>
    </xf>
    <xf numFmtId="0" fontId="4" fillId="0" borderId="1" xfId="0" applyFont="1" applyBorder="1" applyAlignment="1" applyProtection="1">
      <alignment horizontal="center"/>
      <protection hidden="1"/>
    </xf>
    <xf numFmtId="44" fontId="32" fillId="0" borderId="0" xfId="0" applyNumberFormat="1" applyFont="1" applyProtection="1">
      <protection hidden="1"/>
    </xf>
    <xf numFmtId="44" fontId="4" fillId="6" borderId="3" xfId="0" applyNumberFormat="1" applyFont="1" applyFill="1" applyBorder="1" applyProtection="1">
      <protection hidden="1"/>
    </xf>
    <xf numFmtId="10" fontId="0" fillId="0" borderId="1" xfId="11" applyNumberFormat="1" applyFont="1" applyBorder="1" applyAlignment="1" applyProtection="1">
      <alignment horizontal="center"/>
      <protection hidden="1"/>
    </xf>
    <xf numFmtId="0" fontId="2" fillId="0" borderId="0" xfId="0" applyFont="1" applyAlignment="1" applyProtection="1">
      <alignment horizontal="center"/>
      <protection hidden="1"/>
    </xf>
    <xf numFmtId="0" fontId="11" fillId="0" borderId="0" xfId="0" applyFont="1" applyProtection="1">
      <protection hidden="1"/>
    </xf>
    <xf numFmtId="10" fontId="0" fillId="0" borderId="0" xfId="11" applyNumberFormat="1" applyFont="1" applyBorder="1" applyAlignment="1" applyProtection="1">
      <alignment horizontal="center"/>
      <protection hidden="1"/>
    </xf>
    <xf numFmtId="2" fontId="33" fillId="3" borderId="0" xfId="0" applyNumberFormat="1" applyFont="1" applyFill="1" applyProtection="1">
      <protection hidden="1"/>
    </xf>
    <xf numFmtId="44" fontId="34" fillId="0" borderId="0" xfId="4" applyFont="1" applyProtection="1">
      <protection hidden="1"/>
    </xf>
    <xf numFmtId="0" fontId="2" fillId="0" borderId="0" xfId="0" applyFont="1" applyAlignment="1" applyProtection="1">
      <alignment horizontal="left" vertical="center" wrapText="1"/>
      <protection hidden="1"/>
    </xf>
    <xf numFmtId="0" fontId="2" fillId="0" borderId="0" xfId="0" applyFont="1" applyAlignment="1" applyProtection="1">
      <alignment vertical="center" wrapText="1"/>
      <protection hidden="1"/>
    </xf>
    <xf numFmtId="0" fontId="2" fillId="9" borderId="1" xfId="0" applyFont="1" applyFill="1" applyBorder="1" applyAlignment="1" applyProtection="1">
      <alignment horizontal="center"/>
      <protection hidden="1"/>
    </xf>
    <xf numFmtId="44" fontId="2" fillId="0" borderId="0" xfId="4" applyFont="1" applyProtection="1">
      <protection hidden="1"/>
    </xf>
    <xf numFmtId="0" fontId="6" fillId="0" borderId="0" xfId="0" applyFont="1" applyAlignment="1" applyProtection="1">
      <alignment vertical="center" wrapText="1"/>
      <protection hidden="1"/>
    </xf>
    <xf numFmtId="164" fontId="17" fillId="3" borderId="0" xfId="4" applyNumberFormat="1" applyFont="1" applyFill="1" applyProtection="1">
      <protection hidden="1"/>
    </xf>
    <xf numFmtId="0" fontId="4" fillId="3" borderId="4" xfId="0" applyFont="1" applyFill="1" applyBorder="1" applyProtection="1">
      <protection hidden="1"/>
    </xf>
    <xf numFmtId="10" fontId="2" fillId="9" borderId="1" xfId="12" applyNumberFormat="1"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protection hidden="1"/>
    </xf>
    <xf numFmtId="44" fontId="2" fillId="0" borderId="1" xfId="4" applyFont="1" applyBorder="1" applyAlignment="1" applyProtection="1">
      <alignment horizontal="center" vertical="center"/>
      <protection hidden="1"/>
    </xf>
    <xf numFmtId="0" fontId="2" fillId="0" borderId="1" xfId="0" applyFont="1" applyBorder="1" applyAlignment="1" applyProtection="1">
      <alignment horizontal="center" vertical="center" wrapText="1"/>
      <protection hidden="1"/>
    </xf>
    <xf numFmtId="164" fontId="4" fillId="3" borderId="0" xfId="4" applyNumberFormat="1" applyFont="1" applyFill="1" applyAlignment="1" applyProtection="1">
      <alignment horizontal="center" vertical="center"/>
      <protection hidden="1"/>
    </xf>
    <xf numFmtId="0" fontId="4" fillId="3" borderId="0" xfId="0" applyFont="1" applyFill="1" applyAlignment="1" applyProtection="1">
      <alignment horizontal="center" vertical="center"/>
      <protection hidden="1"/>
    </xf>
    <xf numFmtId="0" fontId="4" fillId="5" borderId="0" xfId="0" applyFont="1" applyFill="1" applyAlignment="1" applyProtection="1">
      <alignment horizontal="center" vertical="center" wrapText="1"/>
      <protection hidden="1"/>
    </xf>
    <xf numFmtId="0" fontId="0" fillId="5" borderId="0" xfId="0" applyFill="1" applyAlignment="1" applyProtection="1">
      <alignment horizontal="center" vertical="center" wrapText="1"/>
      <protection hidden="1"/>
    </xf>
    <xf numFmtId="0" fontId="20" fillId="5" borderId="0" xfId="0" applyFont="1" applyFill="1" applyAlignment="1" applyProtection="1">
      <alignment horizontal="center" vertical="center" wrapText="1"/>
      <protection hidden="1"/>
    </xf>
    <xf numFmtId="0" fontId="0" fillId="10" borderId="8" xfId="0" applyFill="1" applyBorder="1" applyAlignment="1" applyProtection="1">
      <alignment horizontal="center" vertical="center"/>
      <protection hidden="1"/>
    </xf>
    <xf numFmtId="0" fontId="2" fillId="3"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wrapText="1"/>
      <protection hidden="1"/>
    </xf>
    <xf numFmtId="168" fontId="1" fillId="0" borderId="1" xfId="4" applyNumberFormat="1" applyFont="1" applyFill="1" applyBorder="1" applyAlignment="1" applyProtection="1">
      <alignment horizontal="center"/>
      <protection hidden="1"/>
    </xf>
    <xf numFmtId="0" fontId="1" fillId="0" borderId="1" xfId="0" applyFont="1" applyBorder="1" applyAlignment="1" applyProtection="1">
      <alignment horizontal="center"/>
      <protection hidden="1"/>
    </xf>
    <xf numFmtId="2" fontId="0" fillId="0" borderId="1" xfId="0" applyNumberFormat="1" applyBorder="1" applyAlignment="1" applyProtection="1">
      <alignment horizontal="center"/>
      <protection hidden="1"/>
    </xf>
    <xf numFmtId="2" fontId="0" fillId="3" borderId="0" xfId="0" applyNumberFormat="1" applyFill="1" applyAlignment="1" applyProtection="1">
      <alignment horizontal="center"/>
      <protection hidden="1"/>
    </xf>
    <xf numFmtId="8" fontId="0" fillId="5" borderId="0" xfId="0" applyNumberFormat="1" applyFill="1" applyProtection="1">
      <protection hidden="1"/>
    </xf>
    <xf numFmtId="2" fontId="0" fillId="5" borderId="0" xfId="0" applyNumberFormat="1" applyFill="1" applyAlignment="1" applyProtection="1">
      <alignment horizontal="center" vertical="center"/>
      <protection hidden="1"/>
    </xf>
    <xf numFmtId="44" fontId="0" fillId="5" borderId="0" xfId="0" applyNumberFormat="1" applyFill="1" applyAlignment="1" applyProtection="1">
      <alignment horizontal="center"/>
      <protection hidden="1"/>
    </xf>
    <xf numFmtId="2" fontId="4" fillId="5" borderId="0" xfId="11" applyNumberFormat="1" applyFont="1" applyFill="1" applyAlignment="1" applyProtection="1">
      <alignment horizontal="center"/>
      <protection hidden="1"/>
    </xf>
    <xf numFmtId="0" fontId="0" fillId="10" borderId="1" xfId="0" applyFill="1" applyBorder="1" applyAlignment="1" applyProtection="1">
      <alignment horizontal="left"/>
      <protection hidden="1"/>
    </xf>
    <xf numFmtId="44" fontId="0" fillId="10" borderId="1" xfId="0" applyNumberFormat="1" applyFill="1" applyBorder="1" applyProtection="1">
      <protection hidden="1"/>
    </xf>
    <xf numFmtId="2" fontId="0" fillId="5" borderId="1" xfId="0" applyNumberFormat="1" applyFill="1" applyBorder="1" applyProtection="1">
      <protection hidden="1"/>
    </xf>
    <xf numFmtId="44" fontId="0" fillId="9" borderId="1" xfId="0" applyNumberFormat="1" applyFill="1" applyBorder="1" applyAlignment="1" applyProtection="1">
      <alignment horizontal="center" vertical="center"/>
      <protection hidden="1"/>
    </xf>
    <xf numFmtId="0" fontId="1" fillId="0" borderId="0" xfId="0" applyFont="1" applyAlignment="1" applyProtection="1">
      <alignment horizontal="center"/>
      <protection hidden="1"/>
    </xf>
    <xf numFmtId="0" fontId="4" fillId="10" borderId="1" xfId="0" applyFont="1" applyFill="1" applyBorder="1" applyAlignment="1" applyProtection="1">
      <alignment horizontal="left"/>
      <protection hidden="1"/>
    </xf>
    <xf numFmtId="0" fontId="0" fillId="0" borderId="1" xfId="0" applyBorder="1" applyProtection="1">
      <protection hidden="1"/>
    </xf>
    <xf numFmtId="169" fontId="0" fillId="0" borderId="1" xfId="0" applyNumberFormat="1" applyBorder="1" applyProtection="1">
      <protection hidden="1"/>
    </xf>
    <xf numFmtId="44" fontId="4" fillId="0" borderId="1" xfId="4" applyFont="1" applyFill="1" applyBorder="1" applyProtection="1">
      <protection hidden="1"/>
    </xf>
    <xf numFmtId="44" fontId="0" fillId="9" borderId="1" xfId="0" applyNumberFormat="1" applyFill="1" applyBorder="1" applyAlignment="1" applyProtection="1">
      <alignment horizontal="center"/>
      <protection hidden="1"/>
    </xf>
    <xf numFmtId="44" fontId="0" fillId="5" borderId="0" xfId="0" applyNumberFormat="1" applyFill="1" applyProtection="1">
      <protection hidden="1"/>
    </xf>
    <xf numFmtId="0" fontId="34" fillId="0" borderId="0" xfId="0" applyFont="1" applyProtection="1">
      <protection hidden="1"/>
    </xf>
    <xf numFmtId="164" fontId="1" fillId="3" borderId="0" xfId="4" applyNumberFormat="1" applyFont="1" applyFill="1" applyBorder="1" applyProtection="1">
      <protection hidden="1"/>
    </xf>
    <xf numFmtId="10" fontId="14" fillId="3" borderId="0" xfId="11" applyNumberFormat="1" applyFont="1" applyFill="1" applyBorder="1" applyProtection="1">
      <protection hidden="1"/>
    </xf>
    <xf numFmtId="164" fontId="33" fillId="3" borderId="0" xfId="4" applyNumberFormat="1" applyFont="1" applyFill="1" applyBorder="1" applyProtection="1">
      <protection hidden="1"/>
    </xf>
    <xf numFmtId="0" fontId="4" fillId="0" borderId="0" xfId="0" applyFont="1" applyAlignment="1" applyProtection="1">
      <alignment horizontal="center" vertical="center" wrapText="1"/>
      <protection hidden="1"/>
    </xf>
    <xf numFmtId="164" fontId="34" fillId="3" borderId="0" xfId="4" applyNumberFormat="1" applyFont="1" applyFill="1" applyBorder="1" applyAlignment="1" applyProtection="1">
      <alignment horizontal="center"/>
      <protection hidden="1"/>
    </xf>
    <xf numFmtId="0" fontId="34" fillId="3" borderId="0" xfId="0" applyFont="1" applyFill="1" applyAlignment="1" applyProtection="1">
      <alignment horizontal="center"/>
      <protection hidden="1"/>
    </xf>
    <xf numFmtId="164" fontId="4" fillId="3" borderId="0" xfId="4" applyNumberFormat="1" applyFont="1" applyFill="1" applyBorder="1" applyAlignment="1" applyProtection="1">
      <alignment horizontal="center"/>
      <protection hidden="1"/>
    </xf>
    <xf numFmtId="0" fontId="0" fillId="3" borderId="1" xfId="0" applyFill="1" applyBorder="1" applyAlignment="1" applyProtection="1">
      <alignment horizontal="center" vertical="center"/>
      <protection hidden="1"/>
    </xf>
    <xf numFmtId="0" fontId="2" fillId="0" borderId="0" xfId="0" applyFont="1" applyAlignment="1" applyProtection="1">
      <alignment vertical="center"/>
      <protection hidden="1"/>
    </xf>
    <xf numFmtId="164" fontId="2" fillId="3" borderId="0" xfId="4" applyNumberFormat="1" applyFont="1" applyFill="1" applyBorder="1" applyProtection="1">
      <protection hidden="1"/>
    </xf>
    <xf numFmtId="0" fontId="2" fillId="0" borderId="0" xfId="0" applyFont="1" applyAlignment="1" applyProtection="1">
      <alignment horizontal="center" vertical="center" wrapText="1"/>
      <protection hidden="1"/>
    </xf>
    <xf numFmtId="44" fontId="0" fillId="0" borderId="0" xfId="4" applyFont="1" applyBorder="1" applyProtection="1">
      <protection hidden="1"/>
    </xf>
    <xf numFmtId="164" fontId="2" fillId="3" borderId="10" xfId="4" applyNumberFormat="1" applyFont="1" applyFill="1" applyBorder="1" applyProtection="1">
      <protection hidden="1"/>
    </xf>
    <xf numFmtId="0" fontId="2" fillId="3" borderId="10" xfId="0" applyFont="1" applyFill="1" applyBorder="1" applyProtection="1">
      <protection hidden="1"/>
    </xf>
    <xf numFmtId="0" fontId="2" fillId="3" borderId="11" xfId="0" applyFont="1" applyFill="1" applyBorder="1" applyProtection="1">
      <protection hidden="1"/>
    </xf>
    <xf numFmtId="0" fontId="2" fillId="3" borderId="0" xfId="0" applyFont="1" applyFill="1" applyAlignment="1" applyProtection="1">
      <alignment horizontal="center" vertical="center"/>
      <protection hidden="1"/>
    </xf>
    <xf numFmtId="0" fontId="34" fillId="0" borderId="0" xfId="0" applyFont="1" applyAlignment="1" applyProtection="1">
      <alignment horizontal="left"/>
      <protection hidden="1"/>
    </xf>
    <xf numFmtId="0" fontId="2" fillId="0" borderId="0" xfId="0" applyFont="1" applyAlignment="1" applyProtection="1">
      <alignment horizontal="left"/>
      <protection hidden="1"/>
    </xf>
    <xf numFmtId="0" fontId="43" fillId="0" borderId="0" xfId="0" applyFont="1" applyAlignment="1" applyProtection="1">
      <alignment horizontal="left" vertical="center"/>
      <protection hidden="1"/>
    </xf>
    <xf numFmtId="164" fontId="26" fillId="3" borderId="8" xfId="4" applyNumberFormat="1" applyFont="1" applyFill="1" applyBorder="1" applyProtection="1">
      <protection hidden="1"/>
    </xf>
    <xf numFmtId="0" fontId="2" fillId="3" borderId="5" xfId="0" applyFont="1" applyFill="1" applyBorder="1" applyProtection="1">
      <protection hidden="1"/>
    </xf>
    <xf numFmtId="0" fontId="4" fillId="0" borderId="1" xfId="0" applyFont="1" applyBorder="1" applyAlignment="1" applyProtection="1">
      <alignment horizontal="center" wrapText="1"/>
      <protection hidden="1"/>
    </xf>
    <xf numFmtId="164" fontId="1" fillId="3" borderId="8" xfId="4" applyNumberFormat="1" applyFont="1" applyFill="1" applyBorder="1" applyProtection="1">
      <protection hidden="1"/>
    </xf>
    <xf numFmtId="0" fontId="0" fillId="3" borderId="5" xfId="0" applyFill="1" applyBorder="1" applyProtection="1">
      <protection hidden="1"/>
    </xf>
    <xf numFmtId="44" fontId="0" fillId="2" borderId="1" xfId="4" applyFont="1" applyFill="1" applyBorder="1" applyProtection="1">
      <protection hidden="1"/>
    </xf>
    <xf numFmtId="44" fontId="0" fillId="2" borderId="1" xfId="4" applyFont="1" applyFill="1" applyBorder="1" applyAlignment="1" applyProtection="1">
      <alignment horizontal="center" vertical="center"/>
      <protection hidden="1"/>
    </xf>
    <xf numFmtId="0" fontId="4" fillId="0" borderId="8" xfId="0" applyFont="1" applyBorder="1" applyProtection="1">
      <protection hidden="1"/>
    </xf>
    <xf numFmtId="44" fontId="0" fillId="0" borderId="3" xfId="4" applyFont="1" applyFill="1" applyBorder="1" applyProtection="1">
      <protection hidden="1"/>
    </xf>
    <xf numFmtId="10" fontId="2" fillId="0" borderId="1" xfId="0" applyNumberFormat="1" applyFont="1" applyBorder="1" applyAlignment="1" applyProtection="1">
      <alignment horizontal="center" vertical="center"/>
      <protection hidden="1"/>
    </xf>
    <xf numFmtId="49" fontId="4" fillId="0" borderId="8" xfId="0" applyNumberFormat="1" applyFont="1" applyBorder="1" applyProtection="1">
      <protection hidden="1"/>
    </xf>
    <xf numFmtId="0" fontId="1" fillId="0" borderId="0" xfId="0" applyFont="1" applyAlignment="1" applyProtection="1">
      <alignment horizontal="right"/>
      <protection hidden="1"/>
    </xf>
    <xf numFmtId="0" fontId="0" fillId="0" borderId="0" xfId="0" applyAlignment="1" applyProtection="1">
      <alignment horizontal="right"/>
      <protection hidden="1"/>
    </xf>
    <xf numFmtId="0" fontId="4" fillId="0" borderId="0" xfId="0" applyFont="1" applyAlignment="1" applyProtection="1">
      <alignment vertical="center"/>
      <protection hidden="1"/>
    </xf>
    <xf numFmtId="0" fontId="6" fillId="0" borderId="8" xfId="0" applyFont="1" applyBorder="1" applyProtection="1">
      <protection hidden="1"/>
    </xf>
    <xf numFmtId="44" fontId="2" fillId="0" borderId="0" xfId="4" applyFont="1" applyAlignment="1" applyProtection="1">
      <alignment horizontal="center"/>
      <protection hidden="1"/>
    </xf>
    <xf numFmtId="44" fontId="2" fillId="0" borderId="0" xfId="4" applyFont="1" applyAlignment="1" applyProtection="1">
      <alignment horizontal="left"/>
      <protection hidden="1"/>
    </xf>
    <xf numFmtId="44" fontId="4" fillId="0" borderId="1" xfId="0" applyNumberFormat="1" applyFont="1" applyBorder="1" applyAlignment="1" applyProtection="1">
      <alignment horizontal="center"/>
      <protection hidden="1"/>
    </xf>
    <xf numFmtId="165" fontId="2" fillId="0" borderId="1" xfId="11" applyNumberFormat="1" applyFont="1" applyFill="1" applyBorder="1" applyProtection="1">
      <protection hidden="1"/>
    </xf>
    <xf numFmtId="0" fontId="4" fillId="0" borderId="1" xfId="0" applyFont="1" applyBorder="1" applyAlignment="1" applyProtection="1">
      <alignment horizontal="center" vertical="center" wrapText="1"/>
      <protection hidden="1"/>
    </xf>
    <xf numFmtId="0" fontId="33" fillId="0" borderId="0" xfId="0" applyFont="1" applyAlignment="1" applyProtection="1">
      <alignment horizontal="center"/>
      <protection hidden="1"/>
    </xf>
    <xf numFmtId="164" fontId="1" fillId="3" borderId="12" xfId="4" applyNumberFormat="1" applyFont="1" applyFill="1" applyBorder="1" applyProtection="1">
      <protection hidden="1"/>
    </xf>
    <xf numFmtId="0" fontId="0" fillId="3" borderId="4" xfId="0" applyFill="1" applyBorder="1" applyProtection="1">
      <protection hidden="1"/>
    </xf>
    <xf numFmtId="0" fontId="0" fillId="3" borderId="6" xfId="0" applyFill="1" applyBorder="1" applyProtection="1">
      <protection hidden="1"/>
    </xf>
    <xf numFmtId="44" fontId="0" fillId="0" borderId="1" xfId="0" applyNumberFormat="1" applyBorder="1" applyProtection="1">
      <protection hidden="1"/>
    </xf>
    <xf numFmtId="9" fontId="4" fillId="3" borderId="0" xfId="0" applyNumberFormat="1" applyFont="1" applyFill="1" applyProtection="1">
      <protection hidden="1"/>
    </xf>
    <xf numFmtId="44" fontId="4" fillId="3" borderId="0" xfId="0" applyNumberFormat="1" applyFont="1" applyFill="1" applyProtection="1">
      <protection hidden="1"/>
    </xf>
    <xf numFmtId="9" fontId="4" fillId="3" borderId="0" xfId="11" applyFont="1" applyFill="1" applyProtection="1">
      <protection hidden="1"/>
    </xf>
    <xf numFmtId="9" fontId="28" fillId="3" borderId="13" xfId="11" applyFont="1" applyFill="1" applyBorder="1" applyProtection="1">
      <protection hidden="1"/>
    </xf>
    <xf numFmtId="0" fontId="2" fillId="0" borderId="14" xfId="0" applyFont="1" applyBorder="1" applyProtection="1">
      <protection hidden="1"/>
    </xf>
    <xf numFmtId="0" fontId="2" fillId="0" borderId="15" xfId="0" applyFont="1" applyBorder="1" applyProtection="1">
      <protection hidden="1"/>
    </xf>
    <xf numFmtId="0" fontId="9" fillId="0" borderId="0" xfId="0" applyFont="1" applyAlignment="1" applyProtection="1">
      <alignment horizontal="center"/>
      <protection hidden="1"/>
    </xf>
    <xf numFmtId="0" fontId="0" fillId="0" borderId="14" xfId="0" applyBorder="1" applyProtection="1">
      <protection hidden="1"/>
    </xf>
    <xf numFmtId="9" fontId="0" fillId="0" borderId="15" xfId="0" applyNumberFormat="1" applyBorder="1" applyProtection="1">
      <protection hidden="1"/>
    </xf>
    <xf numFmtId="0" fontId="4" fillId="0" borderId="14" xfId="0" applyFont="1" applyBorder="1" applyProtection="1">
      <protection hidden="1"/>
    </xf>
    <xf numFmtId="0" fontId="4" fillId="0" borderId="16" xfId="0" applyFont="1" applyBorder="1" applyProtection="1">
      <protection hidden="1"/>
    </xf>
    <xf numFmtId="0" fontId="0" fillId="0" borderId="17" xfId="0" applyBorder="1" applyProtection="1">
      <protection hidden="1"/>
    </xf>
    <xf numFmtId="0" fontId="4" fillId="0" borderId="17" xfId="0" applyFont="1" applyBorder="1" applyProtection="1">
      <protection hidden="1"/>
    </xf>
    <xf numFmtId="9" fontId="0" fillId="0" borderId="18" xfId="0" applyNumberFormat="1" applyBorder="1" applyProtection="1">
      <protection hidden="1"/>
    </xf>
    <xf numFmtId="0" fontId="32" fillId="0" borderId="0" xfId="0" applyFont="1" applyAlignment="1" applyProtection="1">
      <alignment horizontal="center"/>
      <protection hidden="1"/>
    </xf>
    <xf numFmtId="0" fontId="4" fillId="0" borderId="0" xfId="9" applyAlignment="1" applyProtection="1">
      <alignment horizontal="center"/>
      <protection hidden="1"/>
    </xf>
    <xf numFmtId="10" fontId="4" fillId="0" borderId="0" xfId="9" applyNumberFormat="1" applyProtection="1">
      <protection hidden="1"/>
    </xf>
    <xf numFmtId="9" fontId="4" fillId="0" borderId="0" xfId="9" applyNumberFormat="1" applyProtection="1">
      <protection hidden="1"/>
    </xf>
    <xf numFmtId="169" fontId="4" fillId="0" borderId="0" xfId="9" applyNumberFormat="1" applyAlignment="1" applyProtection="1">
      <alignment horizontal="center"/>
      <protection hidden="1"/>
    </xf>
    <xf numFmtId="43" fontId="4" fillId="0" borderId="0" xfId="9" applyNumberFormat="1" applyAlignment="1" applyProtection="1">
      <alignment horizontal="center"/>
      <protection hidden="1"/>
    </xf>
    <xf numFmtId="0" fontId="4" fillId="0" borderId="0" xfId="5" applyNumberFormat="1" applyFont="1" applyProtection="1">
      <protection hidden="1"/>
    </xf>
    <xf numFmtId="169" fontId="4" fillId="0" borderId="0" xfId="5" applyNumberFormat="1" applyFont="1" applyProtection="1">
      <protection hidden="1"/>
    </xf>
    <xf numFmtId="10" fontId="4" fillId="0" borderId="0" xfId="5" applyNumberFormat="1" applyFont="1" applyProtection="1">
      <protection hidden="1"/>
    </xf>
    <xf numFmtId="43" fontId="4" fillId="0" borderId="0" xfId="5" applyNumberFormat="1" applyFont="1" applyProtection="1">
      <protection hidden="1"/>
    </xf>
    <xf numFmtId="43" fontId="4" fillId="5" borderId="0" xfId="9" applyNumberFormat="1" applyFill="1" applyProtection="1">
      <protection hidden="1"/>
    </xf>
    <xf numFmtId="0" fontId="4" fillId="5" borderId="0" xfId="9" applyFill="1" applyProtection="1">
      <protection hidden="1"/>
    </xf>
    <xf numFmtId="10" fontId="4" fillId="5" borderId="0" xfId="9" applyNumberFormat="1" applyFill="1" applyProtection="1">
      <protection hidden="1"/>
    </xf>
    <xf numFmtId="9" fontId="4" fillId="5" borderId="0" xfId="9" applyNumberFormat="1" applyFill="1" applyProtection="1">
      <protection hidden="1"/>
    </xf>
    <xf numFmtId="43" fontId="4" fillId="7" borderId="13" xfId="9" applyNumberFormat="1" applyFill="1" applyBorder="1" applyAlignment="1" applyProtection="1">
      <alignment horizontal="center"/>
      <protection hidden="1"/>
    </xf>
    <xf numFmtId="169" fontId="1" fillId="0" borderId="0" xfId="9" applyNumberFormat="1" applyFont="1" applyProtection="1">
      <protection hidden="1"/>
    </xf>
    <xf numFmtId="9" fontId="1" fillId="0" borderId="0" xfId="9" applyNumberFormat="1" applyFont="1" applyProtection="1">
      <protection hidden="1"/>
    </xf>
    <xf numFmtId="43" fontId="1" fillId="0" borderId="0" xfId="9" applyNumberFormat="1" applyFont="1" applyProtection="1">
      <protection hidden="1"/>
    </xf>
    <xf numFmtId="0" fontId="4" fillId="0" borderId="0" xfId="9" applyAlignment="1" applyProtection="1">
      <alignment horizontal="left"/>
      <protection hidden="1"/>
    </xf>
    <xf numFmtId="43" fontId="4" fillId="7" borderId="13" xfId="9" applyNumberFormat="1" applyFill="1" applyBorder="1" applyProtection="1">
      <protection hidden="1"/>
    </xf>
    <xf numFmtId="2" fontId="0" fillId="5" borderId="0" xfId="0" applyNumberFormat="1" applyFill="1" applyProtection="1">
      <protection hidden="1"/>
    </xf>
    <xf numFmtId="0" fontId="2" fillId="8" borderId="1" xfId="0" applyFont="1" applyFill="1" applyBorder="1" applyAlignment="1" applyProtection="1">
      <alignment horizontal="center" vertical="center"/>
      <protection hidden="1"/>
    </xf>
    <xf numFmtId="168" fontId="1" fillId="8" borderId="1" xfId="4" applyNumberFormat="1" applyFont="1" applyFill="1" applyBorder="1" applyAlignment="1" applyProtection="1">
      <alignment horizontal="center"/>
      <protection hidden="1"/>
    </xf>
    <xf numFmtId="0" fontId="0" fillId="8" borderId="1" xfId="0" applyFill="1" applyBorder="1" applyProtection="1">
      <protection hidden="1"/>
    </xf>
    <xf numFmtId="10" fontId="0" fillId="8" borderId="1" xfId="11" applyNumberFormat="1" applyFont="1" applyFill="1" applyBorder="1" applyAlignment="1" applyProtection="1">
      <alignment horizontal="center"/>
      <protection hidden="1"/>
    </xf>
    <xf numFmtId="2" fontId="0" fillId="8" borderId="1" xfId="0" applyNumberFormat="1" applyFill="1" applyBorder="1" applyAlignment="1" applyProtection="1">
      <alignment horizontal="center"/>
      <protection hidden="1"/>
    </xf>
    <xf numFmtId="0" fontId="2" fillId="8" borderId="1" xfId="0" applyFont="1" applyFill="1" applyBorder="1" applyAlignment="1" applyProtection="1">
      <alignment horizontal="center"/>
      <protection hidden="1"/>
    </xf>
    <xf numFmtId="10" fontId="0" fillId="7" borderId="1" xfId="12" applyNumberFormat="1" applyFont="1" applyFill="1" applyBorder="1" applyAlignment="1" applyProtection="1">
      <alignment horizontal="center"/>
      <protection hidden="1"/>
    </xf>
    <xf numFmtId="0" fontId="2" fillId="0" borderId="0" xfId="9" applyFont="1" applyAlignment="1" applyProtection="1">
      <alignment horizontal="center"/>
      <protection hidden="1"/>
    </xf>
    <xf numFmtId="44" fontId="26" fillId="3" borderId="0" xfId="5" applyFont="1" applyFill="1" applyBorder="1" applyAlignment="1" applyProtection="1">
      <alignment horizontal="center"/>
      <protection hidden="1"/>
    </xf>
    <xf numFmtId="0" fontId="20" fillId="5" borderId="0" xfId="0" applyFont="1" applyFill="1" applyAlignment="1" applyProtection="1">
      <alignment horizontal="center"/>
      <protection hidden="1"/>
    </xf>
    <xf numFmtId="0" fontId="5" fillId="0" borderId="0" xfId="0" applyFont="1" applyAlignment="1" applyProtection="1">
      <alignment horizontal="center"/>
      <protection hidden="1"/>
    </xf>
    <xf numFmtId="0" fontId="2" fillId="0" borderId="1" xfId="0" applyFont="1" applyBorder="1" applyAlignment="1" applyProtection="1">
      <alignment horizontal="center"/>
      <protection hidden="1"/>
    </xf>
    <xf numFmtId="14" fontId="1" fillId="2" borderId="1" xfId="5" applyNumberFormat="1" applyFont="1" applyFill="1" applyBorder="1" applyAlignment="1" applyProtection="1">
      <alignment horizontal="center"/>
      <protection locked="0"/>
    </xf>
    <xf numFmtId="0" fontId="4" fillId="4" borderId="1" xfId="9" applyFill="1" applyBorder="1" applyAlignment="1" applyProtection="1">
      <alignment horizontal="center"/>
      <protection locked="0"/>
    </xf>
    <xf numFmtId="44" fontId="0" fillId="2" borderId="1" xfId="5" applyFont="1" applyFill="1" applyBorder="1" applyProtection="1">
      <protection locked="0"/>
    </xf>
    <xf numFmtId="0" fontId="4" fillId="4" borderId="1" xfId="9" applyFill="1" applyBorder="1" applyProtection="1">
      <protection locked="0"/>
    </xf>
    <xf numFmtId="44" fontId="4" fillId="4" borderId="1" xfId="5" applyFont="1" applyFill="1" applyBorder="1" applyProtection="1">
      <protection locked="0"/>
    </xf>
    <xf numFmtId="44" fontId="4" fillId="2" borderId="1" xfId="4" applyFont="1" applyFill="1" applyBorder="1" applyAlignment="1" applyProtection="1">
      <alignment horizontal="center" vertical="center"/>
      <protection hidden="1"/>
    </xf>
    <xf numFmtId="0" fontId="0" fillId="0" borderId="0" xfId="0" applyAlignment="1" applyProtection="1">
      <alignment vertical="top" wrapText="1"/>
      <protection hidden="1"/>
    </xf>
    <xf numFmtId="0" fontId="0" fillId="7" borderId="2" xfId="0" applyFill="1" applyBorder="1" applyProtection="1">
      <protection hidden="1"/>
    </xf>
    <xf numFmtId="0" fontId="0" fillId="7" borderId="24" xfId="0" applyFill="1" applyBorder="1" applyProtection="1">
      <protection hidden="1"/>
    </xf>
    <xf numFmtId="0" fontId="0" fillId="7" borderId="7" xfId="0" applyFill="1" applyBorder="1" applyProtection="1">
      <protection hidden="1"/>
    </xf>
    <xf numFmtId="0" fontId="0" fillId="4" borderId="1" xfId="0" applyFill="1" applyBorder="1" applyAlignment="1" applyProtection="1">
      <alignment horizontal="center" vertical="center"/>
      <protection hidden="1"/>
    </xf>
    <xf numFmtId="164" fontId="4" fillId="2" borderId="1" xfId="5" applyNumberFormat="1" applyFont="1" applyFill="1" applyBorder="1" applyAlignment="1" applyProtection="1">
      <alignment horizontal="left"/>
      <protection hidden="1"/>
    </xf>
    <xf numFmtId="44" fontId="0" fillId="4" borderId="1" xfId="5" applyFont="1" applyFill="1" applyBorder="1" applyAlignment="1" applyProtection="1">
      <alignment horizontal="center"/>
      <protection hidden="1"/>
    </xf>
    <xf numFmtId="10" fontId="0" fillId="4" borderId="1" xfId="12" applyNumberFormat="1" applyFont="1" applyFill="1" applyBorder="1" applyAlignment="1" applyProtection="1">
      <alignment horizontal="center"/>
      <protection hidden="1"/>
    </xf>
    <xf numFmtId="14" fontId="4" fillId="2" borderId="7" xfId="4" applyNumberFormat="1" applyFont="1" applyFill="1" applyBorder="1" applyAlignment="1" applyProtection="1">
      <protection locked="0"/>
    </xf>
    <xf numFmtId="0" fontId="0" fillId="4" borderId="1" xfId="0" applyFill="1" applyBorder="1" applyAlignment="1" applyProtection="1">
      <alignment horizontal="center"/>
      <protection locked="0"/>
    </xf>
    <xf numFmtId="44" fontId="1" fillId="2" borderId="1" xfId="4" applyFont="1" applyFill="1" applyBorder="1" applyAlignment="1" applyProtection="1">
      <alignment horizontal="center" vertical="center"/>
      <protection locked="0"/>
    </xf>
    <xf numFmtId="44" fontId="0" fillId="2" borderId="1" xfId="4" applyFont="1" applyFill="1" applyBorder="1" applyProtection="1">
      <protection locked="0"/>
    </xf>
    <xf numFmtId="44" fontId="4" fillId="2" borderId="1" xfId="4" applyFont="1" applyFill="1" applyBorder="1" applyAlignment="1" applyProtection="1">
      <alignment horizontal="center"/>
      <protection locked="0"/>
    </xf>
    <xf numFmtId="44" fontId="16" fillId="4" borderId="1" xfId="4" applyFont="1" applyFill="1" applyBorder="1" applyProtection="1">
      <protection locked="0" hidden="1"/>
    </xf>
    <xf numFmtId="44" fontId="4" fillId="2" borderId="1" xfId="4" applyFont="1" applyFill="1" applyBorder="1" applyAlignment="1" applyProtection="1">
      <alignment horizontal="center" vertical="center"/>
      <protection locked="0"/>
    </xf>
    <xf numFmtId="44" fontId="0" fillId="2" borderId="1" xfId="4" applyFont="1" applyFill="1" applyBorder="1" applyAlignment="1" applyProtection="1">
      <alignment horizontal="center" vertical="center"/>
      <protection locked="0"/>
    </xf>
    <xf numFmtId="168" fontId="0" fillId="2" borderId="1" xfId="4" applyNumberFormat="1" applyFont="1" applyFill="1" applyBorder="1" applyAlignment="1" applyProtection="1">
      <alignment horizontal="center"/>
      <protection locked="0"/>
    </xf>
    <xf numFmtId="44" fontId="4" fillId="4" borderId="1" xfId="0" applyNumberFormat="1" applyFont="1" applyFill="1" applyBorder="1" applyProtection="1">
      <protection locked="0"/>
    </xf>
    <xf numFmtId="169" fontId="1" fillId="2" borderId="1" xfId="1" applyNumberFormat="1" applyFont="1" applyFill="1" applyBorder="1" applyAlignment="1" applyProtection="1">
      <alignment horizontal="left"/>
      <protection locked="0"/>
    </xf>
    <xf numFmtId="10" fontId="0" fillId="2" borderId="1" xfId="11" applyNumberFormat="1" applyFont="1" applyFill="1" applyBorder="1" applyAlignment="1" applyProtection="1">
      <alignment horizontal="center"/>
      <protection locked="0"/>
    </xf>
    <xf numFmtId="168" fontId="4" fillId="2" borderId="1" xfId="4" applyNumberFormat="1" applyFont="1" applyFill="1" applyBorder="1" applyAlignment="1" applyProtection="1">
      <alignment horizontal="center"/>
      <protection locked="0"/>
    </xf>
    <xf numFmtId="168" fontId="0" fillId="2" borderId="1" xfId="5" applyNumberFormat="1"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10" fontId="0" fillId="6" borderId="0" xfId="0" applyNumberFormat="1" applyFill="1" applyAlignment="1" applyProtection="1">
      <alignment horizontal="right"/>
      <protection hidden="1"/>
    </xf>
    <xf numFmtId="0" fontId="20" fillId="6" borderId="0" xfId="0" applyFont="1" applyFill="1" applyAlignment="1" applyProtection="1">
      <alignment horizontal="right"/>
      <protection hidden="1"/>
    </xf>
    <xf numFmtId="0" fontId="5" fillId="13" borderId="0" xfId="0" applyFont="1" applyFill="1"/>
    <xf numFmtId="164" fontId="1" fillId="7" borderId="0" xfId="4" applyNumberFormat="1" applyFont="1" applyFill="1" applyBorder="1" applyProtection="1">
      <protection hidden="1"/>
    </xf>
    <xf numFmtId="10" fontId="1" fillId="7" borderId="0" xfId="0" applyNumberFormat="1" applyFont="1" applyFill="1" applyAlignment="1" applyProtection="1">
      <alignment horizontal="center"/>
      <protection hidden="1"/>
    </xf>
    <xf numFmtId="0" fontId="2" fillId="13" borderId="0" xfId="0" applyFont="1" applyFill="1"/>
    <xf numFmtId="43" fontId="4" fillId="13" borderId="0" xfId="9" applyNumberFormat="1" applyFill="1" applyProtection="1">
      <protection hidden="1"/>
    </xf>
    <xf numFmtId="0" fontId="1" fillId="14" borderId="0" xfId="0" applyFont="1" applyFill="1" applyAlignment="1">
      <alignment horizontal="left"/>
    </xf>
    <xf numFmtId="0" fontId="1" fillId="14" borderId="0" xfId="0" applyFont="1" applyFill="1"/>
    <xf numFmtId="0" fontId="4" fillId="0" borderId="0" xfId="9"/>
    <xf numFmtId="44" fontId="1" fillId="4" borderId="1" xfId="5" applyFont="1" applyFill="1" applyBorder="1" applyProtection="1">
      <protection locked="0"/>
    </xf>
    <xf numFmtId="0" fontId="5" fillId="15" borderId="9" xfId="0" applyFont="1" applyFill="1" applyBorder="1"/>
    <xf numFmtId="0" fontId="5" fillId="15" borderId="10" xfId="0" applyFont="1" applyFill="1" applyBorder="1" applyAlignment="1">
      <alignment horizontal="left"/>
    </xf>
    <xf numFmtId="0" fontId="1" fillId="15" borderId="10" xfId="0" applyFont="1" applyFill="1" applyBorder="1"/>
    <xf numFmtId="0" fontId="5" fillId="15" borderId="10" xfId="0" applyFont="1" applyFill="1" applyBorder="1"/>
    <xf numFmtId="0" fontId="5" fillId="15" borderId="11" xfId="0" applyFont="1" applyFill="1" applyBorder="1"/>
    <xf numFmtId="0" fontId="1" fillId="15" borderId="8" xfId="0" applyFont="1" applyFill="1" applyBorder="1"/>
    <xf numFmtId="9" fontId="1" fillId="15" borderId="0" xfId="11" applyFont="1" applyFill="1" applyBorder="1" applyAlignment="1">
      <alignment horizontal="center"/>
    </xf>
    <xf numFmtId="0" fontId="1" fillId="15" borderId="0" xfId="0" applyFont="1" applyFill="1"/>
    <xf numFmtId="9" fontId="1" fillId="15" borderId="5" xfId="11" applyFont="1" applyFill="1" applyBorder="1" applyAlignment="1">
      <alignment horizontal="center"/>
    </xf>
    <xf numFmtId="0" fontId="20" fillId="15" borderId="0" xfId="0" applyFont="1" applyFill="1"/>
    <xf numFmtId="0" fontId="1" fillId="15" borderId="12" xfId="0" applyFont="1" applyFill="1" applyBorder="1"/>
    <xf numFmtId="9" fontId="1" fillId="15" borderId="4" xfId="11" applyFont="1" applyFill="1" applyBorder="1" applyAlignment="1">
      <alignment horizontal="center"/>
    </xf>
    <xf numFmtId="0" fontId="1" fillId="15" borderId="4" xfId="0" applyFont="1" applyFill="1" applyBorder="1"/>
    <xf numFmtId="9" fontId="1" fillId="15" borderId="6" xfId="11" applyFont="1" applyFill="1" applyBorder="1" applyAlignment="1">
      <alignment horizontal="center"/>
    </xf>
    <xf numFmtId="0" fontId="1" fillId="0" borderId="0" xfId="0" applyFont="1"/>
    <xf numFmtId="0" fontId="4" fillId="0" borderId="0" xfId="9" applyAlignment="1">
      <alignment vertical="center" wrapText="1"/>
    </xf>
    <xf numFmtId="9" fontId="4" fillId="0" borderId="0" xfId="9" applyNumberFormat="1" applyAlignment="1">
      <alignment horizontal="center" vertical="center" wrapText="1"/>
    </xf>
    <xf numFmtId="0" fontId="1" fillId="0" borderId="0" xfId="9" applyFont="1" applyAlignment="1">
      <alignment vertical="center" wrapText="1"/>
    </xf>
    <xf numFmtId="0" fontId="2" fillId="0" borderId="1" xfId="9" applyFont="1" applyBorder="1" applyAlignment="1" applyProtection="1">
      <alignment horizontal="center" vertical="center"/>
      <protection hidden="1"/>
    </xf>
    <xf numFmtId="44" fontId="26" fillId="3" borderId="0" xfId="5" applyFont="1" applyFill="1" applyBorder="1" applyAlignment="1" applyProtection="1">
      <alignment horizontal="center"/>
      <protection hidden="1"/>
    </xf>
    <xf numFmtId="44" fontId="2" fillId="3" borderId="0" xfId="5" applyFont="1" applyFill="1" applyBorder="1" applyAlignment="1" applyProtection="1">
      <alignment horizontal="center"/>
      <protection hidden="1"/>
    </xf>
    <xf numFmtId="0" fontId="4" fillId="3" borderId="9" xfId="9" applyFill="1" applyBorder="1" applyAlignment="1" applyProtection="1">
      <alignment horizontal="center" vertical="top" wrapText="1"/>
      <protection hidden="1"/>
    </xf>
    <xf numFmtId="0" fontId="4" fillId="3" borderId="11" xfId="9" applyFill="1" applyBorder="1" applyAlignment="1" applyProtection="1">
      <alignment horizontal="center" vertical="top" wrapText="1"/>
      <protection hidden="1"/>
    </xf>
    <xf numFmtId="0" fontId="4" fillId="3" borderId="8" xfId="9" applyFill="1" applyBorder="1" applyAlignment="1" applyProtection="1">
      <alignment horizontal="center" vertical="top" wrapText="1"/>
      <protection hidden="1"/>
    </xf>
    <xf numFmtId="0" fontId="4" fillId="3" borderId="5" xfId="9" applyFill="1" applyBorder="1" applyAlignment="1" applyProtection="1">
      <alignment horizontal="center" vertical="top" wrapText="1"/>
      <protection hidden="1"/>
    </xf>
    <xf numFmtId="0" fontId="4" fillId="3" borderId="12" xfId="9" applyFill="1" applyBorder="1" applyAlignment="1" applyProtection="1">
      <alignment horizontal="center" vertical="top" wrapText="1"/>
      <protection hidden="1"/>
    </xf>
    <xf numFmtId="0" fontId="4" fillId="3" borderId="6" xfId="9" applyFill="1" applyBorder="1" applyAlignment="1" applyProtection="1">
      <alignment horizontal="center" vertical="top" wrapText="1"/>
      <protection hidden="1"/>
    </xf>
    <xf numFmtId="0" fontId="4" fillId="3" borderId="1" xfId="9" applyFill="1" applyBorder="1" applyAlignment="1" applyProtection="1">
      <alignment horizontal="center" vertical="center" wrapText="1"/>
      <protection hidden="1"/>
    </xf>
    <xf numFmtId="0" fontId="4" fillId="0" borderId="22" xfId="9" applyBorder="1" applyAlignment="1" applyProtection="1">
      <alignment horizontal="center" wrapText="1"/>
      <protection hidden="1"/>
    </xf>
    <xf numFmtId="0" fontId="4" fillId="0" borderId="3" xfId="9" applyBorder="1" applyAlignment="1" applyProtection="1">
      <alignment horizontal="center" wrapText="1"/>
      <protection hidden="1"/>
    </xf>
    <xf numFmtId="0" fontId="2" fillId="0" borderId="2" xfId="9" applyFont="1" applyBorder="1" applyAlignment="1" applyProtection="1">
      <alignment horizontal="center"/>
      <protection hidden="1"/>
    </xf>
    <xf numFmtId="0" fontId="2" fillId="0" borderId="24" xfId="9" applyFont="1" applyBorder="1" applyAlignment="1" applyProtection="1">
      <alignment horizontal="center"/>
      <protection hidden="1"/>
    </xf>
    <xf numFmtId="0" fontId="2" fillId="0" borderId="7" xfId="9" applyFont="1" applyBorder="1" applyAlignment="1" applyProtection="1">
      <alignment horizontal="center"/>
      <protection hidden="1"/>
    </xf>
    <xf numFmtId="168" fontId="4" fillId="2" borderId="2" xfId="5" applyNumberFormat="1" applyFont="1" applyFill="1" applyBorder="1" applyAlignment="1" applyProtection="1">
      <alignment horizontal="center"/>
      <protection locked="0"/>
    </xf>
    <xf numFmtId="168" fontId="4" fillId="2" borderId="24" xfId="5" applyNumberFormat="1" applyFont="1" applyFill="1" applyBorder="1" applyAlignment="1" applyProtection="1">
      <alignment horizontal="center"/>
      <protection locked="0"/>
    </xf>
    <xf numFmtId="168" fontId="4" fillId="2" borderId="7" xfId="5" applyNumberFormat="1" applyFont="1" applyFill="1" applyBorder="1" applyAlignment="1" applyProtection="1">
      <alignment horizontal="center"/>
      <protection locked="0"/>
    </xf>
    <xf numFmtId="0" fontId="2" fillId="0" borderId="0" xfId="9" applyFont="1" applyAlignment="1" applyProtection="1">
      <alignment horizontal="center"/>
      <protection hidden="1"/>
    </xf>
    <xf numFmtId="0" fontId="4" fillId="4" borderId="2" xfId="9" applyFill="1" applyBorder="1" applyAlignment="1" applyProtection="1">
      <alignment horizontal="center"/>
      <protection locked="0"/>
    </xf>
    <xf numFmtId="0" fontId="4" fillId="4" borderId="7" xfId="9" applyFill="1" applyBorder="1" applyAlignment="1" applyProtection="1">
      <alignment horizontal="center"/>
      <protection locked="0"/>
    </xf>
    <xf numFmtId="0" fontId="2" fillId="0" borderId="2" xfId="0" applyFont="1" applyBorder="1" applyAlignment="1" applyProtection="1">
      <alignment horizontal="center"/>
      <protection hidden="1"/>
    </xf>
    <xf numFmtId="0" fontId="2" fillId="0" borderId="24" xfId="0" applyFont="1" applyBorder="1" applyAlignment="1" applyProtection="1">
      <alignment horizontal="center"/>
      <protection hidden="1"/>
    </xf>
    <xf numFmtId="0" fontId="2" fillId="0" borderId="7" xfId="0" applyFont="1" applyBorder="1" applyAlignment="1" applyProtection="1">
      <alignment horizontal="center"/>
      <protection hidden="1"/>
    </xf>
    <xf numFmtId="168" fontId="1" fillId="2" borderId="2" xfId="4" applyNumberFormat="1" applyFont="1" applyFill="1" applyBorder="1" applyAlignment="1" applyProtection="1">
      <alignment horizontal="center"/>
      <protection locked="0"/>
    </xf>
    <xf numFmtId="168" fontId="1" fillId="2" borderId="24" xfId="4" applyNumberFormat="1" applyFont="1" applyFill="1" applyBorder="1" applyAlignment="1" applyProtection="1">
      <alignment horizontal="center"/>
      <protection locked="0"/>
    </xf>
    <xf numFmtId="168" fontId="1" fillId="2" borderId="7" xfId="4" applyNumberFormat="1" applyFont="1" applyFill="1" applyBorder="1" applyAlignment="1" applyProtection="1">
      <alignment horizontal="center"/>
      <protection locked="0"/>
    </xf>
    <xf numFmtId="0" fontId="5" fillId="3" borderId="9" xfId="0" applyFont="1" applyFill="1" applyBorder="1" applyAlignment="1" applyProtection="1">
      <alignment horizontal="center"/>
      <protection hidden="1"/>
    </xf>
    <xf numFmtId="0" fontId="5" fillId="3" borderId="11" xfId="0" applyFont="1" applyFill="1" applyBorder="1" applyAlignment="1" applyProtection="1">
      <alignment horizontal="center"/>
      <protection hidden="1"/>
    </xf>
    <xf numFmtId="0" fontId="4" fillId="4" borderId="9" xfId="0" applyFont="1" applyFill="1" applyBorder="1" applyAlignment="1" applyProtection="1">
      <alignment horizontal="center" vertical="top" wrapText="1"/>
      <protection locked="0"/>
    </xf>
    <xf numFmtId="0" fontId="4" fillId="4" borderId="10" xfId="0" applyFont="1" applyFill="1" applyBorder="1" applyAlignment="1" applyProtection="1">
      <alignment horizontal="center" vertical="top" wrapText="1"/>
      <protection locked="0"/>
    </xf>
    <xf numFmtId="0" fontId="4" fillId="4" borderId="11" xfId="0" applyFont="1" applyFill="1" applyBorder="1" applyAlignment="1" applyProtection="1">
      <alignment horizontal="center" vertical="top" wrapText="1"/>
      <protection locked="0"/>
    </xf>
    <xf numFmtId="0" fontId="4" fillId="4" borderId="8" xfId="0" applyFont="1" applyFill="1" applyBorder="1" applyAlignment="1" applyProtection="1">
      <alignment horizontal="center" vertical="top" wrapText="1"/>
      <protection locked="0"/>
    </xf>
    <xf numFmtId="0" fontId="4" fillId="4" borderId="0" xfId="0" applyFont="1" applyFill="1" applyAlignment="1" applyProtection="1">
      <alignment horizontal="center" vertical="top" wrapText="1"/>
      <protection locked="0"/>
    </xf>
    <xf numFmtId="0" fontId="4" fillId="4" borderId="5" xfId="0" applyFont="1" applyFill="1" applyBorder="1" applyAlignment="1" applyProtection="1">
      <alignment horizontal="center" vertical="top" wrapText="1"/>
      <protection locked="0"/>
    </xf>
    <xf numFmtId="0" fontId="4" fillId="4" borderId="12" xfId="0" applyFont="1" applyFill="1" applyBorder="1" applyAlignment="1" applyProtection="1">
      <alignment horizontal="center" vertical="top" wrapText="1"/>
      <protection locked="0"/>
    </xf>
    <xf numFmtId="0" fontId="4" fillId="4" borderId="4" xfId="0" applyFont="1" applyFill="1" applyBorder="1" applyAlignment="1" applyProtection="1">
      <alignment horizontal="center" vertical="top" wrapText="1"/>
      <protection locked="0"/>
    </xf>
    <xf numFmtId="0" fontId="4" fillId="4" borderId="6" xfId="0" applyFont="1" applyFill="1" applyBorder="1" applyAlignment="1" applyProtection="1">
      <alignment horizontal="center" vertical="top" wrapText="1"/>
      <protection locked="0"/>
    </xf>
    <xf numFmtId="0" fontId="2" fillId="0" borderId="1" xfId="0" applyFont="1" applyBorder="1" applyAlignment="1" applyProtection="1">
      <alignment horizontal="center" wrapText="1"/>
      <protection hidden="1"/>
    </xf>
    <xf numFmtId="0" fontId="20" fillId="10"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protection hidden="1"/>
    </xf>
    <xf numFmtId="0" fontId="2" fillId="8" borderId="24" xfId="0" applyFont="1" applyFill="1" applyBorder="1" applyAlignment="1" applyProtection="1">
      <alignment horizontal="center"/>
      <protection hidden="1"/>
    </xf>
    <xf numFmtId="0" fontId="2" fillId="8" borderId="7" xfId="0" applyFont="1" applyFill="1" applyBorder="1" applyAlignment="1" applyProtection="1">
      <alignment horizontal="center"/>
      <protection hidden="1"/>
    </xf>
    <xf numFmtId="0" fontId="2" fillId="0" borderId="1" xfId="0" applyFont="1" applyBorder="1" applyAlignment="1" applyProtection="1">
      <alignment horizontal="center"/>
      <protection hidden="1"/>
    </xf>
    <xf numFmtId="0" fontId="2" fillId="0" borderId="2" xfId="0" applyFont="1" applyBorder="1" applyAlignment="1" applyProtection="1">
      <alignment horizontal="center" vertical="center"/>
      <protection hidden="1"/>
    </xf>
    <xf numFmtId="0" fontId="2" fillId="0" borderId="24"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5" fillId="0" borderId="0" xfId="0" applyFont="1" applyAlignment="1" applyProtection="1">
      <alignment horizontal="center"/>
      <protection hidden="1"/>
    </xf>
    <xf numFmtId="0" fontId="0" fillId="0" borderId="2" xfId="0" applyBorder="1" applyAlignment="1" applyProtection="1">
      <alignment horizontal="center"/>
      <protection hidden="1"/>
    </xf>
    <xf numFmtId="0" fontId="0" fillId="0" borderId="7" xfId="0" applyBorder="1" applyAlignment="1" applyProtection="1">
      <alignment horizontal="center"/>
      <protection hidden="1"/>
    </xf>
    <xf numFmtId="0" fontId="0" fillId="3" borderId="0" xfId="0" applyFill="1" applyAlignment="1" applyProtection="1">
      <alignment horizontal="center"/>
      <protection hidden="1"/>
    </xf>
    <xf numFmtId="168" fontId="4" fillId="2" borderId="2" xfId="4" applyNumberFormat="1" applyFont="1" applyFill="1" applyBorder="1" applyAlignment="1" applyProtection="1">
      <alignment horizontal="center"/>
      <protection locked="0"/>
    </xf>
    <xf numFmtId="168" fontId="4" fillId="2" borderId="24" xfId="4" applyNumberFormat="1" applyFont="1" applyFill="1" applyBorder="1" applyAlignment="1" applyProtection="1">
      <alignment horizontal="center"/>
      <protection locked="0"/>
    </xf>
    <xf numFmtId="168" fontId="4" fillId="2" borderId="7" xfId="4" applyNumberFormat="1" applyFont="1" applyFill="1" applyBorder="1" applyAlignment="1" applyProtection="1">
      <alignment horizontal="center"/>
      <protection locked="0"/>
    </xf>
    <xf numFmtId="0" fontId="2" fillId="0" borderId="0" xfId="0" applyFont="1" applyAlignment="1" applyProtection="1">
      <alignment horizontal="left" vertical="center"/>
      <protection hidden="1"/>
    </xf>
    <xf numFmtId="0" fontId="0" fillId="0" borderId="9" xfId="0" applyBorder="1" applyAlignment="1" applyProtection="1">
      <alignment horizontal="center" wrapText="1"/>
      <protection hidden="1"/>
    </xf>
    <xf numFmtId="0" fontId="0" fillId="0" borderId="10" xfId="0" applyBorder="1" applyAlignment="1" applyProtection="1">
      <alignment horizontal="center" wrapText="1"/>
      <protection hidden="1"/>
    </xf>
    <xf numFmtId="0" fontId="0" fillId="0" borderId="11" xfId="0" applyBorder="1" applyAlignment="1" applyProtection="1">
      <alignment horizontal="center" wrapText="1"/>
      <protection hidden="1"/>
    </xf>
    <xf numFmtId="0" fontId="0" fillId="0" borderId="12" xfId="0" applyBorder="1" applyAlignment="1" applyProtection="1">
      <alignment horizontal="center" wrapText="1"/>
      <protection hidden="1"/>
    </xf>
    <xf numFmtId="0" fontId="0" fillId="0" borderId="4" xfId="0" applyBorder="1" applyAlignment="1" applyProtection="1">
      <alignment horizontal="center" wrapText="1"/>
      <protection hidden="1"/>
    </xf>
    <xf numFmtId="0" fontId="0" fillId="0" borderId="6" xfId="0" applyBorder="1" applyAlignment="1" applyProtection="1">
      <alignment horizontal="center" wrapText="1"/>
      <protection hidden="1"/>
    </xf>
    <xf numFmtId="0" fontId="4" fillId="2" borderId="2" xfId="1" applyNumberFormat="1" applyFont="1" applyFill="1" applyBorder="1" applyAlignment="1" applyProtection="1">
      <alignment horizontal="center"/>
      <protection locked="0"/>
    </xf>
    <xf numFmtId="0" fontId="4" fillId="2" borderId="7" xfId="1" applyNumberFormat="1" applyFont="1" applyFill="1" applyBorder="1" applyAlignment="1" applyProtection="1">
      <alignment horizontal="center"/>
      <protection locked="0"/>
    </xf>
    <xf numFmtId="0" fontId="0" fillId="5" borderId="2" xfId="0" applyFill="1" applyBorder="1" applyAlignment="1" applyProtection="1">
      <alignment horizontal="center"/>
      <protection hidden="1"/>
    </xf>
    <xf numFmtId="0" fontId="0" fillId="5" borderId="7" xfId="0" applyFill="1" applyBorder="1" applyAlignment="1" applyProtection="1">
      <alignment horizontal="center"/>
      <protection hidden="1"/>
    </xf>
    <xf numFmtId="0" fontId="0" fillId="12" borderId="1"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20" fillId="5" borderId="0" xfId="0" applyFont="1" applyFill="1" applyAlignment="1" applyProtection="1">
      <alignment horizontal="center"/>
      <protection hidden="1"/>
    </xf>
    <xf numFmtId="0" fontId="2" fillId="10" borderId="2" xfId="0" applyFont="1" applyFill="1" applyBorder="1" applyAlignment="1" applyProtection="1">
      <alignment horizontal="center" vertical="center"/>
      <protection hidden="1"/>
    </xf>
    <xf numFmtId="0" fontId="2" fillId="10" borderId="24" xfId="0" applyFont="1" applyFill="1" applyBorder="1" applyAlignment="1" applyProtection="1">
      <alignment horizontal="center" vertical="center"/>
      <protection hidden="1"/>
    </xf>
    <xf numFmtId="0" fontId="2" fillId="10" borderId="7" xfId="0" applyFont="1" applyFill="1" applyBorder="1" applyAlignment="1" applyProtection="1">
      <alignment horizontal="center" vertical="center"/>
      <protection hidden="1"/>
    </xf>
    <xf numFmtId="0" fontId="5" fillId="0" borderId="19" xfId="0" applyFont="1" applyBorder="1" applyAlignment="1" applyProtection="1">
      <alignment horizontal="center"/>
      <protection hidden="1"/>
    </xf>
    <xf numFmtId="0" fontId="5" fillId="0" borderId="20" xfId="0" applyFont="1" applyBorder="1" applyAlignment="1" applyProtection="1">
      <alignment horizontal="center"/>
      <protection hidden="1"/>
    </xf>
    <xf numFmtId="0" fontId="5" fillId="0" borderId="21" xfId="0" applyFont="1" applyBorder="1" applyAlignment="1" applyProtection="1">
      <alignment horizontal="center"/>
      <protection hidden="1"/>
    </xf>
    <xf numFmtId="0" fontId="0" fillId="0" borderId="1" xfId="0" applyBorder="1" applyAlignment="1" applyProtection="1">
      <alignment horizontal="center"/>
      <protection hidden="1"/>
    </xf>
    <xf numFmtId="0" fontId="2" fillId="11" borderId="1" xfId="0" applyFont="1" applyFill="1" applyBorder="1" applyAlignment="1" applyProtection="1">
      <alignment horizontal="center" vertical="center" wrapText="1"/>
      <protection hidden="1"/>
    </xf>
    <xf numFmtId="0" fontId="2" fillId="10" borderId="9" xfId="0" applyFont="1" applyFill="1" applyBorder="1" applyAlignment="1" applyProtection="1">
      <alignment horizontal="center"/>
      <protection hidden="1"/>
    </xf>
    <xf numFmtId="0" fontId="2" fillId="10" borderId="10" xfId="0" applyFont="1" applyFill="1" applyBorder="1" applyAlignment="1" applyProtection="1">
      <alignment horizontal="center"/>
      <protection hidden="1"/>
    </xf>
    <xf numFmtId="0" fontId="2" fillId="10" borderId="11" xfId="0" applyFont="1" applyFill="1" applyBorder="1" applyAlignment="1" applyProtection="1">
      <alignment horizontal="center"/>
      <protection hidden="1"/>
    </xf>
    <xf numFmtId="0" fontId="0" fillId="10" borderId="22" xfId="0" applyFill="1" applyBorder="1" applyAlignment="1" applyProtection="1">
      <alignment horizontal="center"/>
      <protection hidden="1"/>
    </xf>
    <xf numFmtId="0" fontId="0" fillId="10" borderId="3" xfId="0" applyFill="1" applyBorder="1" applyAlignment="1" applyProtection="1">
      <alignment horizontal="center"/>
      <protection hidden="1"/>
    </xf>
  </cellXfs>
  <cellStyles count="13">
    <cellStyle name="Comma" xfId="1" builtinId="3"/>
    <cellStyle name="Comma 2" xfId="2" xr:uid="{00000000-0005-0000-0000-000001000000}"/>
    <cellStyle name="Comma 3" xfId="3" xr:uid="{00000000-0005-0000-0000-000002000000}"/>
    <cellStyle name="Currency" xfId="4" builtinId="4"/>
    <cellStyle name="Currency 2"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 4" xfId="9" xr:uid="{00000000-0005-0000-0000-000009000000}"/>
    <cellStyle name="Normal_Sheet1" xfId="10" xr:uid="{00000000-0005-0000-0000-00000A000000}"/>
    <cellStyle name="Percent" xfId="11" builtinId="5"/>
    <cellStyle name="Percent 2" xfId="12" xr:uid="{00000000-0005-0000-0000-00000C000000}"/>
  </cellStyles>
  <dxfs count="44">
    <dxf>
      <font>
        <color rgb="FFFF0000"/>
      </font>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5" tint="0.59996337778862885"/>
        </patternFill>
      </fill>
    </dxf>
    <dxf>
      <fill>
        <patternFill>
          <bgColor rgb="FF92D050"/>
        </patternFill>
      </fill>
    </dxf>
    <dxf>
      <font>
        <color rgb="FFFF0000"/>
      </font>
    </dxf>
    <dxf>
      <fill>
        <patternFill>
          <bgColor rgb="FF92D050"/>
        </patternFill>
      </fill>
    </dxf>
    <dxf>
      <fill>
        <patternFill>
          <bgColor theme="5" tint="0.59996337778862885"/>
        </patternFill>
      </fill>
    </dxf>
    <dxf>
      <font>
        <b/>
        <i val="0"/>
        <color rgb="FFFF0000"/>
      </font>
    </dxf>
    <dxf>
      <font>
        <color rgb="FF0070C0"/>
      </font>
    </dxf>
    <dxf>
      <font>
        <color rgb="FF0070C0"/>
      </font>
    </dxf>
    <dxf>
      <fill>
        <patternFill>
          <bgColor theme="5" tint="0.79998168889431442"/>
        </patternFill>
      </fill>
    </dxf>
    <dxf>
      <fill>
        <patternFill>
          <bgColor theme="5" tint="0.79998168889431442"/>
        </patternFill>
      </fill>
    </dxf>
    <dxf>
      <fill>
        <patternFill>
          <bgColor theme="5" tint="0.59996337778862885"/>
        </patternFill>
      </fill>
    </dxf>
    <dxf>
      <fill>
        <patternFill>
          <bgColor rgb="FF92D050"/>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ont>
        <color rgb="FFFF0000"/>
      </font>
    </dxf>
    <dxf>
      <fill>
        <patternFill>
          <bgColor rgb="FF92D050"/>
        </patternFill>
      </fill>
    </dxf>
    <dxf>
      <fill>
        <patternFill>
          <bgColor theme="5" tint="0.59996337778862885"/>
        </patternFill>
      </fill>
    </dxf>
    <dxf>
      <font>
        <color rgb="FFFF0000"/>
      </font>
    </dxf>
    <dxf>
      <font>
        <color rgb="FFFF000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0070C0"/>
      </font>
    </dxf>
    <dxf>
      <font>
        <color rgb="FF0070C0"/>
      </font>
    </dxf>
    <dxf>
      <font>
        <color rgb="FF0070C0"/>
      </font>
    </dxf>
    <dxf>
      <font>
        <color rgb="FFFF0000"/>
      </font>
    </dxf>
    <dxf>
      <font>
        <color rgb="FF0070C0"/>
      </font>
    </dxf>
    <dxf>
      <font>
        <color rgb="FF0070C0"/>
      </font>
    </dxf>
  </dxfs>
  <tableStyles count="0" defaultTableStyle="TableStyleMedium9" defaultPivotStyle="PivotStyleLight16"/>
  <colors>
    <mruColors>
      <color rgb="FFE7EEEF"/>
      <color rgb="FFEEE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8</xdr:col>
      <xdr:colOff>198120</xdr:colOff>
      <xdr:row>4</xdr:row>
      <xdr:rowOff>91440</xdr:rowOff>
    </xdr:to>
    <xdr:pic>
      <xdr:nvPicPr>
        <xdr:cNvPr id="3" name="Picture 2">
          <a:extLst>
            <a:ext uri="{FF2B5EF4-FFF2-40B4-BE49-F238E27FC236}">
              <a16:creationId xmlns:a16="http://schemas.microsoft.com/office/drawing/2014/main" id="{47B114E5-E994-4BD3-B17A-27937BB6FF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7694" y="170329"/>
          <a:ext cx="2340685" cy="602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9</xdr:col>
      <xdr:colOff>187918</xdr:colOff>
      <xdr:row>6</xdr:row>
      <xdr:rowOff>45699</xdr:rowOff>
    </xdr:to>
    <xdr:pic>
      <xdr:nvPicPr>
        <xdr:cNvPr id="7" name="Picture 2">
          <a:extLst>
            <a:ext uri="{FF2B5EF4-FFF2-40B4-BE49-F238E27FC236}">
              <a16:creationId xmlns:a16="http://schemas.microsoft.com/office/drawing/2014/main" id="{85699B76-C9EF-4ACD-BB79-93CF556C1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9929" y="489857"/>
          <a:ext cx="2274346" cy="580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U136"/>
  <sheetViews>
    <sheetView showGridLines="0" tabSelected="1" zoomScale="85" zoomScaleNormal="85" workbookViewId="0">
      <selection activeCell="D3" sqref="D3"/>
    </sheetView>
  </sheetViews>
  <sheetFormatPr defaultColWidth="9.109375" defaultRowHeight="13.2"/>
  <cols>
    <col min="1" max="1" width="52.109375" style="41" customWidth="1"/>
    <col min="2" max="2" width="9.109375" style="339"/>
    <col min="3" max="3" width="7.109375" style="41" customWidth="1"/>
    <col min="4" max="4" width="14.21875" style="41" bestFit="1" customWidth="1"/>
    <col min="5" max="5" width="11.109375" style="41" customWidth="1"/>
    <col min="6" max="6" width="5.6640625" style="41" customWidth="1"/>
    <col min="7" max="7" width="14.21875" style="41" customWidth="1"/>
    <col min="8" max="8" width="11.33203125" style="41" customWidth="1"/>
    <col min="9" max="9" width="5.88671875" style="41" customWidth="1"/>
    <col min="10" max="11" width="9.109375" style="42" hidden="1" customWidth="1"/>
    <col min="12" max="13" width="9.109375" style="43" hidden="1" customWidth="1"/>
    <col min="14" max="14" width="42.109375" style="43" hidden="1" customWidth="1"/>
    <col min="15" max="15" width="17.21875" style="43" hidden="1" customWidth="1"/>
    <col min="16" max="16" width="13" style="43" hidden="1" customWidth="1"/>
    <col min="17" max="17" width="14.21875" style="43" hidden="1" customWidth="1"/>
    <col min="18" max="18" width="12.6640625" style="43" hidden="1" customWidth="1"/>
    <col min="19" max="19" width="12.88671875" style="43" hidden="1" customWidth="1"/>
    <col min="20" max="20" width="11.6640625" style="43" hidden="1" customWidth="1"/>
    <col min="21" max="21" width="11.6640625" style="41" hidden="1" customWidth="1"/>
    <col min="22" max="22" width="38" style="41" hidden="1" customWidth="1"/>
    <col min="23" max="27" width="11.6640625" style="41" hidden="1" customWidth="1"/>
    <col min="28" max="28" width="13.33203125" style="41" hidden="1" customWidth="1"/>
    <col min="29" max="31" width="11.6640625" style="41" hidden="1" customWidth="1"/>
    <col min="32" max="16384" width="9.109375" style="41"/>
  </cols>
  <sheetData>
    <row r="2" spans="1:27">
      <c r="A2" s="441" t="s">
        <v>219</v>
      </c>
      <c r="B2" s="442"/>
      <c r="C2" s="443"/>
    </row>
    <row r="3" spans="1:27">
      <c r="A3" s="444"/>
      <c r="B3" s="445"/>
      <c r="C3" s="446"/>
    </row>
    <row r="4" spans="1:27">
      <c r="B4" s="41"/>
    </row>
    <row r="5" spans="1:27">
      <c r="A5" s="450" t="s">
        <v>525</v>
      </c>
      <c r="B5" s="451"/>
      <c r="C5" s="452"/>
      <c r="D5" s="35" t="s">
        <v>25</v>
      </c>
      <c r="N5" s="43" t="s">
        <v>32</v>
      </c>
    </row>
    <row r="6" spans="1:27">
      <c r="A6" s="453"/>
      <c r="B6" s="454"/>
      <c r="C6" s="455"/>
      <c r="D6" s="371"/>
      <c r="F6" s="44" t="s">
        <v>587</v>
      </c>
      <c r="N6" s="45" t="s">
        <v>136</v>
      </c>
    </row>
    <row r="7" spans="1:27">
      <c r="A7" s="40"/>
      <c r="B7" s="41"/>
      <c r="N7" s="45" t="s">
        <v>137</v>
      </c>
    </row>
    <row r="8" spans="1:27" ht="12.75" customHeight="1">
      <c r="A8" s="40" t="s">
        <v>591</v>
      </c>
      <c r="I8" s="46"/>
      <c r="N8" s="43" t="s">
        <v>404</v>
      </c>
    </row>
    <row r="9" spans="1:27" ht="12.75" customHeight="1">
      <c r="I9" s="46"/>
    </row>
    <row r="10" spans="1:27">
      <c r="B10" s="41"/>
      <c r="V10" s="402" t="s">
        <v>588</v>
      </c>
      <c r="W10" s="405" t="s">
        <v>589</v>
      </c>
      <c r="X10" s="405"/>
      <c r="Y10" s="405"/>
    </row>
    <row r="11" spans="1:27">
      <c r="A11" s="44" t="s">
        <v>411</v>
      </c>
      <c r="D11" s="447" t="s">
        <v>0</v>
      </c>
      <c r="E11" s="447"/>
      <c r="G11" s="447" t="s">
        <v>1</v>
      </c>
      <c r="H11" s="447"/>
      <c r="K11" s="42" t="s">
        <v>32</v>
      </c>
    </row>
    <row r="12" spans="1:27">
      <c r="L12" s="42"/>
      <c r="M12" s="42"/>
      <c r="N12" s="42"/>
      <c r="Q12" s="43" t="s">
        <v>32</v>
      </c>
    </row>
    <row r="13" spans="1:27">
      <c r="A13" s="41" t="s">
        <v>433</v>
      </c>
      <c r="D13" s="448" t="s">
        <v>137</v>
      </c>
      <c r="E13" s="449"/>
      <c r="G13" s="448" t="s">
        <v>137</v>
      </c>
      <c r="H13" s="449"/>
      <c r="N13" s="402" t="s">
        <v>586</v>
      </c>
      <c r="O13" s="407" t="s">
        <v>584</v>
      </c>
      <c r="P13" s="408"/>
      <c r="Q13" s="43" t="s">
        <v>32</v>
      </c>
      <c r="V13" s="44" t="s">
        <v>395</v>
      </c>
      <c r="AA13" s="44" t="s">
        <v>395</v>
      </c>
    </row>
    <row r="14" spans="1:27" ht="13.5" customHeight="1" thickBot="1"/>
    <row r="15" spans="1:27" ht="12.75" customHeight="1">
      <c r="A15" s="439" t="s">
        <v>412</v>
      </c>
      <c r="D15" s="441" t="s">
        <v>413</v>
      </c>
      <c r="E15" s="442"/>
      <c r="F15" s="442"/>
      <c r="G15" s="442"/>
      <c r="H15" s="443"/>
      <c r="N15" s="47"/>
      <c r="O15" s="48" t="s">
        <v>14</v>
      </c>
      <c r="P15" s="49"/>
      <c r="Q15" s="50" t="s">
        <v>46</v>
      </c>
      <c r="S15" s="42" t="s">
        <v>14</v>
      </c>
      <c r="V15" s="44" t="s">
        <v>396</v>
      </c>
      <c r="AA15" s="44" t="s">
        <v>397</v>
      </c>
    </row>
    <row r="16" spans="1:27">
      <c r="A16" s="440"/>
      <c r="C16" s="339"/>
      <c r="I16" s="339"/>
      <c r="N16" s="51" t="s">
        <v>51</v>
      </c>
      <c r="O16" s="403">
        <f>SUM(Q16/52)</f>
        <v>241.73076923076923</v>
      </c>
      <c r="P16" s="404">
        <v>0.08</v>
      </c>
      <c r="Q16" s="52">
        <v>12570</v>
      </c>
      <c r="R16" s="53"/>
      <c r="S16" s="42" t="s">
        <v>8</v>
      </c>
    </row>
    <row r="17" spans="1:47">
      <c r="D17" s="54" t="s">
        <v>216</v>
      </c>
      <c r="E17" s="54" t="s">
        <v>217</v>
      </c>
      <c r="G17" s="54" t="s">
        <v>216</v>
      </c>
      <c r="H17" s="54" t="s">
        <v>217</v>
      </c>
      <c r="J17" s="55" t="s">
        <v>48</v>
      </c>
      <c r="K17" s="55" t="s">
        <v>48</v>
      </c>
      <c r="N17" s="51" t="s">
        <v>52</v>
      </c>
      <c r="O17" s="56">
        <v>967</v>
      </c>
      <c r="P17" s="404">
        <v>0.02</v>
      </c>
      <c r="Q17" s="52">
        <v>50270</v>
      </c>
      <c r="S17" s="42" t="s">
        <v>46</v>
      </c>
      <c r="V17" s="41" t="s">
        <v>398</v>
      </c>
      <c r="W17" s="84">
        <f>SUM(J21:J38)-SUM(J43:J45)-W18</f>
        <v>0</v>
      </c>
      <c r="AA17" s="41" t="s">
        <v>398</v>
      </c>
      <c r="AB17" s="84"/>
      <c r="AC17" s="84">
        <f>SUM(K21:K38)-SUM(K43:K45)-AC18</f>
        <v>0</v>
      </c>
    </row>
    <row r="18" spans="1:47" ht="13.8" thickBot="1">
      <c r="B18" s="57" t="s">
        <v>50</v>
      </c>
      <c r="C18" s="58"/>
      <c r="D18" s="372"/>
      <c r="E18" s="372"/>
      <c r="G18" s="372"/>
      <c r="H18" s="372"/>
      <c r="J18" s="55" t="s">
        <v>6</v>
      </c>
      <c r="K18" s="55" t="s">
        <v>6</v>
      </c>
      <c r="N18" s="59"/>
      <c r="O18" s="60"/>
      <c r="P18" s="60"/>
      <c r="Q18" s="61">
        <f>Q17-Q16</f>
        <v>37700</v>
      </c>
      <c r="R18" s="62"/>
      <c r="V18" s="41" t="s">
        <v>400</v>
      </c>
      <c r="W18" s="84">
        <f>J23</f>
        <v>0</v>
      </c>
      <c r="AA18" s="41" t="s">
        <v>400</v>
      </c>
      <c r="AB18" s="84"/>
      <c r="AC18" s="84">
        <f>K23</f>
        <v>0</v>
      </c>
      <c r="AF18" s="63" t="s">
        <v>555</v>
      </c>
      <c r="AG18" s="64"/>
      <c r="AH18" s="64"/>
      <c r="AI18" s="64"/>
      <c r="AJ18" s="64"/>
      <c r="AK18" s="64"/>
      <c r="AL18" s="64"/>
      <c r="AM18" s="64"/>
      <c r="AN18" s="64"/>
      <c r="AO18" s="64"/>
      <c r="AP18" s="64"/>
      <c r="AQ18" s="64"/>
      <c r="AR18" s="64"/>
      <c r="AS18" s="64"/>
      <c r="AT18" s="64"/>
      <c r="AU18" s="64"/>
    </row>
    <row r="19" spans="1:47" ht="12.75" customHeight="1">
      <c r="A19" s="36" t="s">
        <v>526</v>
      </c>
      <c r="B19" s="65" t="s">
        <v>37</v>
      </c>
      <c r="D19" s="339" t="s">
        <v>47</v>
      </c>
      <c r="E19" s="339" t="s">
        <v>5</v>
      </c>
      <c r="G19" s="339" t="s">
        <v>47</v>
      </c>
      <c r="H19" s="339" t="s">
        <v>5</v>
      </c>
      <c r="V19" s="41" t="s">
        <v>3</v>
      </c>
      <c r="W19" s="84">
        <f>W17+W18</f>
        <v>0</v>
      </c>
      <c r="AA19" s="41" t="s">
        <v>3</v>
      </c>
      <c r="AB19" s="84"/>
      <c r="AC19" s="84">
        <f>AC17+AC18</f>
        <v>0</v>
      </c>
    </row>
    <row r="20" spans="1:47" ht="12.75" customHeight="1">
      <c r="A20" s="38"/>
      <c r="B20" s="65"/>
      <c r="N20" s="66" t="s">
        <v>49</v>
      </c>
      <c r="O20" s="55" t="s">
        <v>0</v>
      </c>
      <c r="P20" s="67"/>
      <c r="Q20" s="55" t="s">
        <v>1</v>
      </c>
      <c r="V20" s="41" t="s">
        <v>547</v>
      </c>
      <c r="W20" s="348">
        <v>12570</v>
      </c>
      <c r="AA20" s="41" t="s">
        <v>547</v>
      </c>
      <c r="AB20" s="84"/>
      <c r="AC20" s="348">
        <v>12570</v>
      </c>
    </row>
    <row r="21" spans="1:47" ht="12.75" customHeight="1">
      <c r="A21" s="38" t="s">
        <v>45</v>
      </c>
      <c r="B21" s="68">
        <v>1</v>
      </c>
      <c r="D21" s="373">
        <v>0</v>
      </c>
      <c r="E21" s="374" t="s">
        <v>46</v>
      </c>
      <c r="G21" s="373">
        <v>0</v>
      </c>
      <c r="H21" s="374" t="s">
        <v>46</v>
      </c>
      <c r="J21" s="42">
        <f>IF(D21="",0,IF(E21="Annually",D21*B21,IF(E21="Monthly",D21*B21*12,D21*B21*52)))</f>
        <v>0</v>
      </c>
      <c r="K21" s="42">
        <f>IF(G21="",0,IF(H21="Annually",G21*B21,IF(H21="Monthly",G21*B21*12,G21*B21*52)))</f>
        <v>0</v>
      </c>
      <c r="X21" s="366" t="s">
        <v>398</v>
      </c>
      <c r="Y21" s="366" t="s">
        <v>399</v>
      </c>
      <c r="AD21" s="366" t="s">
        <v>398</v>
      </c>
      <c r="AE21" s="366" t="s">
        <v>399</v>
      </c>
    </row>
    <row r="22" spans="1:47" ht="12.75" customHeight="1">
      <c r="A22" s="38" t="s">
        <v>38</v>
      </c>
      <c r="B22" s="68">
        <v>1</v>
      </c>
      <c r="D22" s="373">
        <v>0</v>
      </c>
      <c r="E22" s="374" t="s">
        <v>46</v>
      </c>
      <c r="G22" s="373">
        <v>0</v>
      </c>
      <c r="H22" s="374" t="s">
        <v>46</v>
      </c>
      <c r="J22" s="42">
        <f t="shared" ref="J22:J31" si="0">IF(D22="",0,IF(E22="Annually",D22*B22,IF(E22="Monthly",D22*B22*12,D22*B22*52)))</f>
        <v>0</v>
      </c>
      <c r="K22" s="42">
        <f t="shared" ref="K22:K32" si="1">IF(G22="",0,IF(H22="Annually",G22*B22,IF(H22="Monthly",G22*B22*12,G22*B22*52)))</f>
        <v>0</v>
      </c>
      <c r="N22" s="43" t="s">
        <v>405</v>
      </c>
      <c r="O22" s="69">
        <f>SUM(J21:J47)-SUM(J50:J52)</f>
        <v>0</v>
      </c>
      <c r="P22" s="69"/>
      <c r="Q22" s="69">
        <f>SUM(K21:K47)-SUM(K50:K52)</f>
        <v>0</v>
      </c>
      <c r="V22" s="41" t="s">
        <v>548</v>
      </c>
      <c r="W22" s="406">
        <v>500</v>
      </c>
      <c r="X22" s="349"/>
      <c r="Y22" s="350">
        <v>0</v>
      </c>
      <c r="AA22" s="41" t="s">
        <v>548</v>
      </c>
      <c r="AC22" s="406">
        <v>500</v>
      </c>
      <c r="AD22" s="349"/>
      <c r="AE22" s="350">
        <v>0</v>
      </c>
    </row>
    <row r="23" spans="1:47" ht="12.75" customHeight="1">
      <c r="A23" s="38" t="s">
        <v>39</v>
      </c>
      <c r="B23" s="68">
        <v>1</v>
      </c>
      <c r="D23" s="373">
        <v>0</v>
      </c>
      <c r="E23" s="374" t="s">
        <v>46</v>
      </c>
      <c r="G23" s="373">
        <v>0</v>
      </c>
      <c r="H23" s="374" t="s">
        <v>46</v>
      </c>
      <c r="J23" s="42">
        <f t="shared" si="0"/>
        <v>0</v>
      </c>
      <c r="K23" s="42">
        <f t="shared" si="1"/>
        <v>0</v>
      </c>
      <c r="V23" s="41" t="s">
        <v>401</v>
      </c>
      <c r="W23" s="348">
        <v>37700</v>
      </c>
      <c r="X23" s="351">
        <v>0.2</v>
      </c>
      <c r="Y23" s="350">
        <v>8.7499999999999994E-2</v>
      </c>
      <c r="AA23" s="41" t="s">
        <v>401</v>
      </c>
      <c r="AC23" s="348">
        <v>37700</v>
      </c>
      <c r="AD23" s="351">
        <v>0.2</v>
      </c>
      <c r="AE23" s="350">
        <v>8.7499999999999994E-2</v>
      </c>
    </row>
    <row r="24" spans="1:47" ht="12.75" customHeight="1">
      <c r="A24" s="38"/>
      <c r="B24" s="68"/>
      <c r="J24" s="42">
        <f t="shared" si="0"/>
        <v>0</v>
      </c>
      <c r="K24" s="42">
        <f t="shared" si="1"/>
        <v>0</v>
      </c>
      <c r="N24" s="43" t="s">
        <v>406</v>
      </c>
      <c r="O24" s="53">
        <f>SUM(O22-O26)</f>
        <v>0</v>
      </c>
      <c r="Q24" s="69">
        <f>SUM(Q22-Q26)</f>
        <v>0</v>
      </c>
      <c r="V24" s="41" t="s">
        <v>381</v>
      </c>
      <c r="W24" s="406">
        <v>125140</v>
      </c>
      <c r="X24" s="351">
        <v>0.4</v>
      </c>
      <c r="Y24" s="350">
        <v>0.33750000000000002</v>
      </c>
      <c r="AA24" s="41" t="s">
        <v>381</v>
      </c>
      <c r="AC24" s="406">
        <v>125140</v>
      </c>
      <c r="AD24" s="351">
        <v>0.4</v>
      </c>
      <c r="AE24" s="350">
        <v>0.33750000000000002</v>
      </c>
    </row>
    <row r="25" spans="1:47" ht="12.75" customHeight="1">
      <c r="A25" s="38"/>
      <c r="B25" s="68"/>
      <c r="J25" s="42">
        <f t="shared" si="0"/>
        <v>0</v>
      </c>
      <c r="K25" s="42">
        <f t="shared" si="1"/>
        <v>0</v>
      </c>
      <c r="V25" s="41" t="s">
        <v>382</v>
      </c>
      <c r="W25" s="348"/>
      <c r="X25" s="351">
        <v>0.45</v>
      </c>
      <c r="Y25" s="350">
        <v>0.39350000000000002</v>
      </c>
      <c r="AA25" s="41" t="s">
        <v>382</v>
      </c>
      <c r="AC25" s="348"/>
      <c r="AD25" s="351">
        <v>0.45</v>
      </c>
      <c r="AE25" s="350">
        <v>0.39350000000000002</v>
      </c>
    </row>
    <row r="26" spans="1:47" ht="12.75" customHeight="1">
      <c r="A26" s="38" t="s">
        <v>40</v>
      </c>
      <c r="B26" s="68">
        <v>1</v>
      </c>
      <c r="D26" s="373">
        <v>0</v>
      </c>
      <c r="E26" s="374" t="s">
        <v>46</v>
      </c>
      <c r="G26" s="373">
        <v>0</v>
      </c>
      <c r="H26" s="374" t="s">
        <v>46</v>
      </c>
      <c r="J26" s="42">
        <f t="shared" si="0"/>
        <v>0</v>
      </c>
      <c r="K26" s="42">
        <f t="shared" si="1"/>
        <v>0</v>
      </c>
      <c r="N26" s="64" t="s">
        <v>407</v>
      </c>
      <c r="O26" s="70">
        <f>J23</f>
        <v>0</v>
      </c>
      <c r="P26" s="64"/>
      <c r="Q26" s="70">
        <f>K23</f>
        <v>0</v>
      </c>
    </row>
    <row r="27" spans="1:47" ht="12.75" customHeight="1">
      <c r="A27" s="38" t="s">
        <v>41</v>
      </c>
      <c r="B27" s="68">
        <v>1</v>
      </c>
      <c r="D27" s="373">
        <v>0</v>
      </c>
      <c r="E27" s="374" t="s">
        <v>46</v>
      </c>
      <c r="G27" s="373">
        <v>0</v>
      </c>
      <c r="H27" s="374" t="s">
        <v>46</v>
      </c>
      <c r="J27" s="42">
        <f t="shared" si="0"/>
        <v>0</v>
      </c>
      <c r="K27" s="42">
        <f t="shared" si="1"/>
        <v>0</v>
      </c>
      <c r="M27" s="42"/>
      <c r="T27" s="71"/>
      <c r="V27" s="41" t="s">
        <v>402</v>
      </c>
      <c r="W27" s="348">
        <v>100000</v>
      </c>
      <c r="AA27" s="41" t="s">
        <v>402</v>
      </c>
      <c r="AC27" s="348">
        <v>100000</v>
      </c>
    </row>
    <row r="28" spans="1:47" ht="12.75" customHeight="1">
      <c r="A28" s="38" t="s">
        <v>527</v>
      </c>
      <c r="B28" s="68">
        <v>1</v>
      </c>
      <c r="D28" s="373">
        <v>0</v>
      </c>
      <c r="E28" s="374" t="s">
        <v>46</v>
      </c>
      <c r="G28" s="373">
        <v>0</v>
      </c>
      <c r="H28" s="374" t="s">
        <v>46</v>
      </c>
      <c r="J28" s="42">
        <f t="shared" si="0"/>
        <v>0</v>
      </c>
      <c r="K28" s="42">
        <f t="shared" si="1"/>
        <v>0</v>
      </c>
      <c r="V28" s="41" t="s">
        <v>549</v>
      </c>
      <c r="W28" s="84">
        <f>IF(W19&lt;W27,0,(W19-W27)/2)</f>
        <v>0</v>
      </c>
      <c r="AA28" s="41" t="s">
        <v>549</v>
      </c>
      <c r="AC28" s="84">
        <f>IF(AC19&lt;AC27,0,(AC19-AC27)/2)</f>
        <v>0</v>
      </c>
    </row>
    <row r="29" spans="1:47" ht="12.75" customHeight="1">
      <c r="A29" s="38" t="s">
        <v>528</v>
      </c>
      <c r="B29" s="68">
        <v>1</v>
      </c>
      <c r="D29" s="373">
        <v>0</v>
      </c>
      <c r="E29" s="374" t="s">
        <v>46</v>
      </c>
      <c r="G29" s="373">
        <v>0</v>
      </c>
      <c r="H29" s="374" t="s">
        <v>46</v>
      </c>
      <c r="J29" s="42">
        <f t="shared" si="0"/>
        <v>0</v>
      </c>
      <c r="K29" s="42">
        <f t="shared" si="1"/>
        <v>0</v>
      </c>
      <c r="T29" s="72"/>
      <c r="V29" s="41" t="s">
        <v>550</v>
      </c>
      <c r="W29" s="84">
        <f>IF(W28&gt;W20,0,IF(W28=0,W20,W20-W28))</f>
        <v>12570</v>
      </c>
      <c r="X29" s="76"/>
      <c r="Y29" s="76"/>
      <c r="Z29" s="76"/>
      <c r="AA29" s="41" t="s">
        <v>550</v>
      </c>
      <c r="AC29" s="84">
        <f>IF(AC28&gt;AC20,0,IF(AC28=0,AC20,AC20-AC28))</f>
        <v>12570</v>
      </c>
      <c r="AD29" s="76"/>
      <c r="AE29" s="76"/>
    </row>
    <row r="30" spans="1:47" ht="12.75" customHeight="1">
      <c r="A30" s="38" t="s">
        <v>431</v>
      </c>
      <c r="B30" s="68">
        <v>1</v>
      </c>
      <c r="D30" s="373">
        <v>0</v>
      </c>
      <c r="E30" s="374" t="s">
        <v>46</v>
      </c>
      <c r="G30" s="373">
        <v>0</v>
      </c>
      <c r="H30" s="374" t="s">
        <v>46</v>
      </c>
      <c r="J30" s="42">
        <f t="shared" si="0"/>
        <v>0</v>
      </c>
      <c r="K30" s="42">
        <f t="shared" si="1"/>
        <v>0</v>
      </c>
      <c r="L30" s="43" t="s">
        <v>32</v>
      </c>
      <c r="O30" s="71"/>
      <c r="T30" s="71"/>
      <c r="V30" s="76" t="s">
        <v>551</v>
      </c>
      <c r="W30" s="84">
        <f>100000+(W20*2)</f>
        <v>125140</v>
      </c>
      <c r="X30" s="76"/>
      <c r="Y30" s="76"/>
      <c r="Z30" s="76"/>
      <c r="AA30" s="76" t="s">
        <v>551</v>
      </c>
      <c r="AB30" s="76"/>
      <c r="AC30" s="84">
        <f>100000+(AC20*2)</f>
        <v>125140</v>
      </c>
      <c r="AD30" s="76"/>
      <c r="AE30" s="76"/>
    </row>
    <row r="31" spans="1:47" ht="12.75" customHeight="1">
      <c r="A31" s="38"/>
      <c r="B31" s="68"/>
      <c r="J31" s="42">
        <f t="shared" si="0"/>
        <v>0</v>
      </c>
      <c r="K31" s="42">
        <f t="shared" si="1"/>
        <v>0</v>
      </c>
      <c r="T31" s="71"/>
      <c r="V31" s="76"/>
      <c r="W31" s="76"/>
      <c r="X31" s="76"/>
      <c r="Y31" s="76"/>
      <c r="Z31" s="76"/>
      <c r="AA31" s="76"/>
      <c r="AB31" s="76"/>
      <c r="AC31" s="76"/>
      <c r="AD31" s="76"/>
      <c r="AE31" s="76"/>
    </row>
    <row r="32" spans="1:47" ht="12.75" customHeight="1">
      <c r="A32" s="36" t="s">
        <v>529</v>
      </c>
      <c r="B32" s="68"/>
      <c r="J32" s="42">
        <f>IF(D32="",0,IF(E32="Annually",D32*B32,IF(E32="Monthly",D32*B32*12,D32*B32*52)))</f>
        <v>0</v>
      </c>
      <c r="K32" s="42">
        <f t="shared" si="1"/>
        <v>0</v>
      </c>
      <c r="V32" s="44" t="s">
        <v>552</v>
      </c>
      <c r="W32" s="84"/>
      <c r="AA32" s="44" t="s">
        <v>552</v>
      </c>
      <c r="AC32" s="84"/>
    </row>
    <row r="33" spans="1:31" ht="12.75" customHeight="1">
      <c r="A33" s="39"/>
      <c r="O33" s="71"/>
      <c r="P33" s="71"/>
      <c r="Q33" s="71"/>
      <c r="U33" s="73"/>
      <c r="V33" s="39" t="s">
        <v>403</v>
      </c>
      <c r="W33" s="353">
        <f>IF(W20&gt;W19,W17,IF(W19&gt;W30,0,IF(W29&gt;W17,W17,W29)))</f>
        <v>0</v>
      </c>
      <c r="X33" s="354">
        <v>0</v>
      </c>
      <c r="Y33" s="355">
        <f>X33*W33</f>
        <v>0</v>
      </c>
      <c r="Z33" s="39"/>
      <c r="AA33" s="39" t="s">
        <v>403</v>
      </c>
      <c r="AB33" s="39"/>
      <c r="AC33" s="353">
        <f>IF(AC20&gt;AC19,AC17,IF(AC19&gt;AC30,0,IF(AC29&gt;AC17,AC17,AC29)))</f>
        <v>0</v>
      </c>
      <c r="AD33" s="354">
        <v>0</v>
      </c>
      <c r="AE33" s="355">
        <f>AD33*AC33</f>
        <v>0</v>
      </c>
    </row>
    <row r="34" spans="1:31" ht="12.75" customHeight="1">
      <c r="A34" s="38" t="s">
        <v>44</v>
      </c>
      <c r="B34" s="68">
        <v>0.5</v>
      </c>
      <c r="D34" s="375">
        <v>0</v>
      </c>
      <c r="E34" s="374" t="s">
        <v>46</v>
      </c>
      <c r="G34" s="375">
        <v>0</v>
      </c>
      <c r="H34" s="374" t="s">
        <v>46</v>
      </c>
      <c r="J34" s="42">
        <f t="shared" ref="J34:J41" si="2">IF(D34="",0,IF(E34="Annually",D34*B34,IF(E34="Monthly",D34*B34*12,D34*B34*52)))</f>
        <v>0</v>
      </c>
      <c r="K34" s="42">
        <f t="shared" ref="K34:K41" si="3">IF(G34="",0,IF(H34="Annually",G34*B34,IF(H34="Monthly",G34*B34*12,G34*B34*52)))</f>
        <v>0</v>
      </c>
      <c r="N34" s="74"/>
      <c r="O34" s="75"/>
      <c r="P34" s="75"/>
      <c r="Q34" s="75"/>
      <c r="U34" s="76"/>
      <c r="V34" s="41" t="s">
        <v>380</v>
      </c>
      <c r="W34" s="79">
        <f>IF(W17&lt;(W23+W33),W17-W33,IF(W17&lt;W24,W23,W23))</f>
        <v>0</v>
      </c>
      <c r="X34" s="341">
        <f>X23</f>
        <v>0.2</v>
      </c>
      <c r="Y34" s="84">
        <f>X34*W34</f>
        <v>0</v>
      </c>
      <c r="AA34" s="41" t="s">
        <v>380</v>
      </c>
      <c r="AC34" s="79">
        <f>IF(AC17&lt;(AC23+AC33),AC17-AC33,IF(AC17&lt;AC24,AC23,AC23))</f>
        <v>0</v>
      </c>
      <c r="AD34" s="341">
        <f>AD23</f>
        <v>0.2</v>
      </c>
      <c r="AE34" s="84">
        <f t="shared" ref="AE34:AE36" si="4">AD34*AC34</f>
        <v>0</v>
      </c>
    </row>
    <row r="35" spans="1:31" ht="12.75" customHeight="1">
      <c r="A35" s="38" t="s">
        <v>530</v>
      </c>
      <c r="B35" s="68">
        <v>0.5</v>
      </c>
      <c r="D35" s="375">
        <v>0</v>
      </c>
      <c r="E35" s="374" t="s">
        <v>46</v>
      </c>
      <c r="G35" s="375">
        <v>0</v>
      </c>
      <c r="H35" s="374" t="s">
        <v>46</v>
      </c>
      <c r="J35" s="42">
        <f t="shared" si="2"/>
        <v>0</v>
      </c>
      <c r="K35" s="42">
        <f t="shared" si="3"/>
        <v>0</v>
      </c>
      <c r="N35" s="43" t="s">
        <v>53</v>
      </c>
      <c r="O35" s="71">
        <f>IF(O24+J50&lt;Q16,0,IF(O24+J50&gt;$Q$17,$Q$18*$P$16,(O24+J50-Q16)*$P$16))</f>
        <v>0</v>
      </c>
      <c r="P35" s="71"/>
      <c r="Q35" s="71">
        <f>IF(Q24+K50&lt;Q16,0,IF(Q24+K50&gt;$Q$17,$Q$18*$P$16,(Q24+K50-Q16)*$P$16))</f>
        <v>0</v>
      </c>
      <c r="U35" s="76"/>
      <c r="V35" s="41" t="s">
        <v>381</v>
      </c>
      <c r="W35" s="79">
        <f>IF(W17&lt;W23+W29,0,IF(W17&lt;W24,W17-W34-W33,W24-W23))</f>
        <v>0</v>
      </c>
      <c r="X35" s="341">
        <f t="shared" ref="X35:X36" si="5">X24</f>
        <v>0.4</v>
      </c>
      <c r="Y35" s="84">
        <f t="shared" ref="Y35:Y36" si="6">X35*W35</f>
        <v>0</v>
      </c>
      <c r="AA35" s="41" t="s">
        <v>381</v>
      </c>
      <c r="AC35" s="79">
        <f>IF(AC17&lt;AC23+AC29,0,IF(AC17&lt;AC24,AC17-AC34-AC33,AC24-AC23))</f>
        <v>0</v>
      </c>
      <c r="AD35" s="341">
        <f t="shared" ref="AD35:AD36" si="7">AD24</f>
        <v>0.4</v>
      </c>
      <c r="AE35" s="84">
        <f t="shared" si="4"/>
        <v>0</v>
      </c>
    </row>
    <row r="36" spans="1:31" ht="12.75" customHeight="1">
      <c r="A36" s="38" t="s">
        <v>42</v>
      </c>
      <c r="B36" s="68">
        <v>0.5</v>
      </c>
      <c r="D36" s="375">
        <v>0</v>
      </c>
      <c r="E36" s="374" t="s">
        <v>46</v>
      </c>
      <c r="G36" s="375">
        <v>0</v>
      </c>
      <c r="H36" s="374" t="s">
        <v>46</v>
      </c>
      <c r="J36" s="42">
        <f t="shared" si="2"/>
        <v>0</v>
      </c>
      <c r="K36" s="42">
        <f t="shared" si="3"/>
        <v>0</v>
      </c>
      <c r="N36" s="43" t="s">
        <v>54</v>
      </c>
      <c r="O36" s="71">
        <f>IF(O24+J50&lt;$Q$17,0,(O24+J50-$Q$17)*$P$17)</f>
        <v>0</v>
      </c>
      <c r="P36" s="71"/>
      <c r="Q36" s="71">
        <f>IF(Q24+K50&lt;$Q$17,0,(Q24+K50-$Q$17)*$P$17)</f>
        <v>0</v>
      </c>
      <c r="U36" s="339"/>
      <c r="V36" s="356" t="s">
        <v>382</v>
      </c>
      <c r="W36" s="342">
        <f>IF(W17&lt;W24,0,W17-W24)</f>
        <v>0</v>
      </c>
      <c r="X36" s="341">
        <f t="shared" si="5"/>
        <v>0.45</v>
      </c>
      <c r="Y36" s="343">
        <f t="shared" si="6"/>
        <v>0</v>
      </c>
      <c r="Z36" s="339"/>
      <c r="AA36" s="339" t="s">
        <v>382</v>
      </c>
      <c r="AB36" s="339"/>
      <c r="AC36" s="342">
        <f>IF(AC17&lt;AC24,0,AC17-AC24)</f>
        <v>0</v>
      </c>
      <c r="AD36" s="341">
        <f t="shared" si="7"/>
        <v>0.45</v>
      </c>
      <c r="AE36" s="343">
        <f t="shared" si="4"/>
        <v>0</v>
      </c>
    </row>
    <row r="37" spans="1:31" ht="12.75" customHeight="1" thickBot="1">
      <c r="A37" s="38" t="s">
        <v>432</v>
      </c>
      <c r="B37" s="68">
        <v>0.5</v>
      </c>
      <c r="D37" s="375">
        <v>0</v>
      </c>
      <c r="E37" s="374" t="s">
        <v>46</v>
      </c>
      <c r="G37" s="375">
        <v>0</v>
      </c>
      <c r="H37" s="374" t="s">
        <v>46</v>
      </c>
      <c r="J37" s="42">
        <f t="shared" si="2"/>
        <v>0</v>
      </c>
      <c r="K37" s="42">
        <f t="shared" si="3"/>
        <v>0</v>
      </c>
      <c r="N37" s="74"/>
      <c r="O37" s="75"/>
      <c r="P37" s="75"/>
      <c r="Q37" s="75"/>
      <c r="U37" s="339"/>
      <c r="V37" s="339"/>
      <c r="W37" s="342">
        <f>SUM(W33:W36)</f>
        <v>0</v>
      </c>
      <c r="X37" s="339"/>
      <c r="Y37" s="352">
        <f>SUM(Y33:Y36)</f>
        <v>0</v>
      </c>
      <c r="Z37" s="339"/>
      <c r="AA37" s="339"/>
      <c r="AB37" s="339"/>
      <c r="AC37" s="342">
        <f>SUM(AC33:AC36)</f>
        <v>0</v>
      </c>
      <c r="AD37" s="339"/>
      <c r="AE37" s="352">
        <f>SUM(AE33:AE36)</f>
        <v>0</v>
      </c>
    </row>
    <row r="38" spans="1:31" ht="12.75" customHeight="1" thickTop="1">
      <c r="A38" s="38" t="s">
        <v>531</v>
      </c>
      <c r="B38" s="68">
        <v>0.5</v>
      </c>
      <c r="D38" s="375">
        <v>0</v>
      </c>
      <c r="E38" s="374" t="s">
        <v>46</v>
      </c>
      <c r="G38" s="375">
        <v>0</v>
      </c>
      <c r="H38" s="374" t="s">
        <v>46</v>
      </c>
      <c r="J38" s="42">
        <f t="shared" si="2"/>
        <v>0</v>
      </c>
      <c r="K38" s="42">
        <f t="shared" si="3"/>
        <v>0</v>
      </c>
      <c r="N38" s="43" t="s">
        <v>55</v>
      </c>
      <c r="O38" s="75">
        <f>Y34</f>
        <v>0</v>
      </c>
      <c r="P38" s="75"/>
      <c r="Q38" s="75">
        <f>AE34</f>
        <v>0</v>
      </c>
      <c r="R38" s="71"/>
      <c r="V38" s="80"/>
      <c r="W38" s="80"/>
      <c r="X38" s="80"/>
      <c r="Y38" s="84"/>
      <c r="Z38" s="80"/>
      <c r="AA38" s="80"/>
      <c r="AB38" s="80"/>
      <c r="AC38" s="80"/>
      <c r="AD38" s="80"/>
      <c r="AE38" s="84"/>
    </row>
    <row r="39" spans="1:31" ht="12.75" customHeight="1">
      <c r="A39" s="77"/>
      <c r="B39" s="68"/>
      <c r="J39" s="42">
        <f t="shared" si="2"/>
        <v>0</v>
      </c>
      <c r="K39" s="42">
        <f t="shared" si="3"/>
        <v>0</v>
      </c>
      <c r="N39" s="43" t="s">
        <v>56</v>
      </c>
      <c r="O39" s="75">
        <f t="shared" ref="O39:O40" si="8">Y35</f>
        <v>0</v>
      </c>
      <c r="P39" s="75"/>
      <c r="Q39" s="75">
        <f t="shared" ref="Q39:Q40" si="9">AE35</f>
        <v>0</v>
      </c>
      <c r="R39" s="71"/>
      <c r="V39" s="44" t="s">
        <v>553</v>
      </c>
      <c r="W39" s="80"/>
      <c r="X39" s="80"/>
      <c r="Y39" s="84"/>
      <c r="Z39" s="80"/>
      <c r="AA39" s="44" t="s">
        <v>553</v>
      </c>
      <c r="AB39" s="80"/>
      <c r="AC39" s="80"/>
      <c r="AD39" s="80"/>
      <c r="AE39" s="84"/>
    </row>
    <row r="40" spans="1:31" ht="12.75" customHeight="1">
      <c r="A40" s="77"/>
      <c r="B40" s="68"/>
      <c r="J40" s="42">
        <f t="shared" si="2"/>
        <v>0</v>
      </c>
      <c r="K40" s="42">
        <f t="shared" si="3"/>
        <v>0</v>
      </c>
      <c r="N40" s="43" t="s">
        <v>113</v>
      </c>
      <c r="O40" s="75">
        <f t="shared" si="8"/>
        <v>0</v>
      </c>
      <c r="P40" s="75"/>
      <c r="Q40" s="75">
        <f t="shared" si="9"/>
        <v>0</v>
      </c>
      <c r="R40" s="71"/>
      <c r="V40" s="41" t="s">
        <v>403</v>
      </c>
      <c r="W40" s="79">
        <f>IF(W18=0,0,IF(W33&gt;=W29,0,IF(W19&lt;W29,W19-W33,W29-W33)))</f>
        <v>0</v>
      </c>
      <c r="X40" s="340">
        <v>0</v>
      </c>
      <c r="Y40" s="84">
        <f>X40*W40</f>
        <v>0</v>
      </c>
      <c r="AA40" s="41" t="s">
        <v>403</v>
      </c>
      <c r="AC40" s="79">
        <f>IF(AC18=0,0,IF(AC33&gt;=AC29,0,IF(AC19&lt;AC29,AC19-AC33,AC29-AC33)))</f>
        <v>0</v>
      </c>
      <c r="AD40" s="340">
        <v>0</v>
      </c>
      <c r="AE40" s="84">
        <f>AD40*AC40</f>
        <v>0</v>
      </c>
    </row>
    <row r="41" spans="1:31" ht="12.75" customHeight="1">
      <c r="A41" s="36" t="s">
        <v>532</v>
      </c>
      <c r="B41" s="68"/>
      <c r="J41" s="42">
        <f t="shared" si="2"/>
        <v>0</v>
      </c>
      <c r="K41" s="42">
        <f t="shared" si="3"/>
        <v>0</v>
      </c>
      <c r="V41" s="41" t="s">
        <v>554</v>
      </c>
      <c r="W41" s="79">
        <f>W22</f>
        <v>500</v>
      </c>
      <c r="X41" s="340">
        <v>0</v>
      </c>
      <c r="Y41" s="84">
        <f>X41*W41</f>
        <v>0</v>
      </c>
      <c r="Z41" s="80"/>
      <c r="AA41" s="41" t="s">
        <v>554</v>
      </c>
      <c r="AB41" s="80"/>
      <c r="AC41" s="79">
        <f>AC22</f>
        <v>500</v>
      </c>
      <c r="AD41" s="340">
        <v>0</v>
      </c>
      <c r="AE41" s="84">
        <f>AD41*AC41</f>
        <v>0</v>
      </c>
    </row>
    <row r="42" spans="1:31" ht="12.75" customHeight="1">
      <c r="A42" s="38"/>
      <c r="B42" s="68"/>
      <c r="U42" s="78"/>
      <c r="V42" s="344" t="s">
        <v>380</v>
      </c>
      <c r="W42" s="345">
        <f>IF(W18=0,0,IF(W18&lt;=W41+W40,0,IF(W34&gt;=W23,0,IF(W23-W34&lt;W18-W41-W40,W23-W34-W22,W18-W41-W40))))</f>
        <v>0</v>
      </c>
      <c r="X42" s="346">
        <f>Y23</f>
        <v>8.7499999999999994E-2</v>
      </c>
      <c r="Y42" s="347">
        <f>X42*W42</f>
        <v>0</v>
      </c>
      <c r="Z42" s="344"/>
      <c r="AA42" s="344" t="s">
        <v>380</v>
      </c>
      <c r="AB42" s="344"/>
      <c r="AC42" s="345">
        <f>IF(AC18=0,0,IF(AC18&lt;=AC41+AC40,0,IF(AC34&gt;=AC23,0,IF(AC23-AC34&lt;AC18-AC41-AC40,AC23-AC34-AC22,AC18-AC41-AC40))))</f>
        <v>0</v>
      </c>
      <c r="AD42" s="346">
        <f>AE23</f>
        <v>8.7499999999999994E-2</v>
      </c>
      <c r="AE42" s="347">
        <f>AD42*AC42</f>
        <v>0</v>
      </c>
    </row>
    <row r="43" spans="1:31" ht="12.75" customHeight="1">
      <c r="A43" s="38" t="s">
        <v>131</v>
      </c>
      <c r="B43" s="68">
        <v>1</v>
      </c>
      <c r="D43" s="375">
        <v>0</v>
      </c>
      <c r="E43" s="374" t="s">
        <v>46</v>
      </c>
      <c r="G43" s="375">
        <v>0</v>
      </c>
      <c r="H43" s="374" t="s">
        <v>46</v>
      </c>
      <c r="J43" s="42">
        <f>IF(D43="",0,IF(E43="Annually",D43*B43,IF(E43="Monthly",D43*B43*12,D43*B43*52)))</f>
        <v>0</v>
      </c>
      <c r="K43" s="42">
        <f>IF(G43="",0,IF(H43="Annually",G43*B43,IF(H43="Monthly",G43*B43*12,G43*B43*52)))</f>
        <v>0</v>
      </c>
      <c r="U43" s="78"/>
      <c r="V43" s="344" t="s">
        <v>381</v>
      </c>
      <c r="W43" s="345">
        <f>IF(W18=0,0,IF(W18&lt;=W42+W41+W40,0,IF(W35+W34=W24,0,IF(W18-W42-W41-W40&lt;W24-W23-W35,W18-W42-W41-W40,IF(W35&gt;0,W24-W23-W22-W35,IF(W19&gt;W24,W24-W23,W24-W23-W35-W22))))))</f>
        <v>0</v>
      </c>
      <c r="X43" s="346">
        <f>Y24</f>
        <v>0.33750000000000002</v>
      </c>
      <c r="Y43" s="347">
        <f>X43*W43</f>
        <v>0</v>
      </c>
      <c r="Z43" s="344"/>
      <c r="AA43" s="344" t="s">
        <v>381</v>
      </c>
      <c r="AB43" s="344"/>
      <c r="AC43" s="345">
        <f>IF(AC18=0,0,IF(AC18&lt;=AC42+AC41+AC40,0,IF(AC35+AC34=AC24,0,IF(AC18-AC42-AC41-AC40&lt;AC24-AC23-AC35,AC18-AC42-AC41-AC40,IF(AC35&gt;0,AC24-AC23-AC22-AC35,IF(AC19&gt;AC24,AC24-AC23,AC24-AC23-AC35-AC22))))))</f>
        <v>0</v>
      </c>
      <c r="AD43" s="346">
        <f>AE24</f>
        <v>0.33750000000000002</v>
      </c>
      <c r="AE43" s="347">
        <f>AD43*AC43</f>
        <v>0</v>
      </c>
    </row>
    <row r="44" spans="1:31" ht="12.75" customHeight="1">
      <c r="A44" s="38" t="s">
        <v>132</v>
      </c>
      <c r="B44" s="68">
        <v>1</v>
      </c>
      <c r="D44" s="375">
        <v>0</v>
      </c>
      <c r="E44" s="374" t="s">
        <v>46</v>
      </c>
      <c r="G44" s="375">
        <v>0</v>
      </c>
      <c r="H44" s="374" t="s">
        <v>46</v>
      </c>
      <c r="J44" s="42">
        <f>IF(D44="",0,IF(E44="Annually",D44*B44,IF(E44="Monthly",D44*B44*12,D44*B44*52)))</f>
        <v>0</v>
      </c>
      <c r="K44" s="42">
        <f>IF(G44="",0,IF(H44="Annually",G44*B44,IF(H44="Monthly",G44*B44*12,G44*B44*52)))</f>
        <v>0</v>
      </c>
      <c r="N44" s="66" t="s">
        <v>35</v>
      </c>
      <c r="O44" s="75"/>
      <c r="P44" s="75"/>
      <c r="Q44" s="75"/>
      <c r="S44" s="53"/>
      <c r="V44" s="41" t="s">
        <v>382</v>
      </c>
      <c r="W44" s="79">
        <f>IF(W18=0,0,IF(W18&lt;=W43+W42+W41+W40,0,W18-W43-W42-W41-W40))</f>
        <v>0</v>
      </c>
      <c r="X44" s="340">
        <f>Y25</f>
        <v>0.39350000000000002</v>
      </c>
      <c r="Y44" s="84">
        <f>X44*W44</f>
        <v>0</v>
      </c>
      <c r="AA44" s="41" t="s">
        <v>382</v>
      </c>
      <c r="AC44" s="79">
        <f>IF(AC18=0,0,IF(AC18&lt;=AC43+AC42+AC41+AC40,0,AC18-AC43-AC42-AC41-AC40))</f>
        <v>0</v>
      </c>
      <c r="AD44" s="340">
        <f>AE25</f>
        <v>0.39350000000000002</v>
      </c>
      <c r="AE44" s="84">
        <f>AD44*AC44</f>
        <v>0</v>
      </c>
    </row>
    <row r="45" spans="1:31" ht="12.75" customHeight="1" thickBot="1">
      <c r="A45" s="38" t="s">
        <v>133</v>
      </c>
      <c r="B45" s="68">
        <v>1</v>
      </c>
      <c r="D45" s="375">
        <v>0</v>
      </c>
      <c r="E45" s="374" t="s">
        <v>46</v>
      </c>
      <c r="G45" s="375">
        <v>0</v>
      </c>
      <c r="H45" s="374" t="s">
        <v>46</v>
      </c>
      <c r="J45" s="42">
        <f>IF(D45="",0,IF(E45="Annually",D45*B45,IF(E45="Monthly",D45*B45*12,D45*B45*52)))</f>
        <v>0</v>
      </c>
      <c r="K45" s="42">
        <f>IF(G45="",0,IF(H45="Annually",G45*B45,IF(H45="Monthly",G45*B45*12,G45*B45*52)))</f>
        <v>0</v>
      </c>
      <c r="N45" s="67"/>
      <c r="O45" s="75"/>
      <c r="P45" s="75"/>
      <c r="Q45" s="75"/>
      <c r="S45" s="53"/>
      <c r="U45" s="80"/>
      <c r="W45" s="79">
        <f>SUM(W40:W44)</f>
        <v>500</v>
      </c>
      <c r="Y45" s="357">
        <f>SUM(Y40:Y44)</f>
        <v>0</v>
      </c>
      <c r="AC45" s="79">
        <f>SUM(AC40:AC44)</f>
        <v>500</v>
      </c>
      <c r="AE45" s="357">
        <f>SUM(AE40:AE44)</f>
        <v>0</v>
      </c>
    </row>
    <row r="46" spans="1:31" ht="12.75" customHeight="1" thickTop="1">
      <c r="A46" s="38"/>
      <c r="B46" s="68"/>
      <c r="J46" s="42">
        <f>IF(D46="",0,IF(E46="Annually",D46*B46,IF(E46="Monthly",D46*B46*12,D46*B46*52)))</f>
        <v>0</v>
      </c>
      <c r="K46" s="42">
        <f>IF(G46="",0,IF(H46="Annually",G46*B46,IF(H46="Monthly",G46*B46*12,G46*B46*52)))</f>
        <v>0</v>
      </c>
      <c r="L46" s="43" t="s">
        <v>32</v>
      </c>
      <c r="N46" s="43" t="s">
        <v>144</v>
      </c>
      <c r="O46" s="71">
        <f>IF(D13="No",O35+O36,0)</f>
        <v>0</v>
      </c>
      <c r="P46" s="71"/>
      <c r="Q46" s="71">
        <f>IF(G13="No",Q35+Q36,0)</f>
        <v>0</v>
      </c>
      <c r="S46" s="53"/>
    </row>
    <row r="47" spans="1:31" ht="12.75" customHeight="1">
      <c r="A47" s="38"/>
      <c r="B47" s="68"/>
      <c r="J47" s="42">
        <f>IF(D47="",0,IF(E47="Annually",D47*B47,IF(E47="Monthly",D47*B47*12,D47*B47*52)))</f>
        <v>0</v>
      </c>
      <c r="K47" s="42">
        <f>IF(G47="",0,IF(H47="Annually",G47*B47,IF(H47="Monthly",G47*B47*12,G47*B47*52)))</f>
        <v>0</v>
      </c>
      <c r="N47" s="43" t="s">
        <v>408</v>
      </c>
      <c r="O47" s="71">
        <f>SUM(O38:O40)</f>
        <v>0</v>
      </c>
      <c r="P47" s="71"/>
      <c r="Q47" s="71">
        <f>SUM(Q38:Q40)</f>
        <v>0</v>
      </c>
      <c r="S47" s="43" t="s">
        <v>106</v>
      </c>
    </row>
    <row r="48" spans="1:31" ht="12.75" customHeight="1">
      <c r="A48" s="36" t="s">
        <v>206</v>
      </c>
      <c r="B48" s="68"/>
      <c r="N48" s="43" t="s">
        <v>409</v>
      </c>
      <c r="O48" s="75">
        <f>Y45</f>
        <v>0</v>
      </c>
      <c r="P48" s="75"/>
      <c r="Q48" s="75">
        <f>AE45</f>
        <v>0</v>
      </c>
    </row>
    <row r="49" spans="1:17" ht="12.75" customHeight="1">
      <c r="A49" s="36"/>
      <c r="B49" s="65"/>
      <c r="L49" s="67"/>
      <c r="N49" s="43" t="s">
        <v>226</v>
      </c>
      <c r="O49" s="71">
        <f>J55+J56</f>
        <v>0</v>
      </c>
      <c r="P49" s="71"/>
      <c r="Q49" s="71">
        <f>K55+K56</f>
        <v>0</v>
      </c>
    </row>
    <row r="50" spans="1:17" ht="12.75" customHeight="1">
      <c r="A50" s="38" t="s">
        <v>207</v>
      </c>
      <c r="B50" s="68">
        <v>1</v>
      </c>
      <c r="D50" s="373">
        <v>0</v>
      </c>
      <c r="E50" s="374" t="s">
        <v>8</v>
      </c>
      <c r="G50" s="373">
        <v>0</v>
      </c>
      <c r="H50" s="374" t="s">
        <v>8</v>
      </c>
      <c r="J50" s="42">
        <f>IF(D50="",0,IF(E50="Annually",D50*B50,IF(E50="Monthly",D50*B50*12,D50*B50*52)))</f>
        <v>0</v>
      </c>
      <c r="K50" s="42">
        <f>IF(G50="",0,IF(H50="Annually",G50*B50,IF(H50="Monthly",G50*B50*12,G50*B50*52)))</f>
        <v>0</v>
      </c>
      <c r="M50" s="67"/>
      <c r="N50" s="67" t="s">
        <v>57</v>
      </c>
      <c r="O50" s="81">
        <f>SUM(O46:O49)</f>
        <v>0</v>
      </c>
      <c r="P50" s="81"/>
      <c r="Q50" s="81">
        <f>SUM(Q46:Q49)</f>
        <v>0</v>
      </c>
    </row>
    <row r="51" spans="1:17" ht="12.75" customHeight="1">
      <c r="A51" s="38" t="s">
        <v>108</v>
      </c>
      <c r="B51" s="68">
        <v>1</v>
      </c>
      <c r="D51" s="373">
        <v>0</v>
      </c>
      <c r="E51" s="374" t="s">
        <v>8</v>
      </c>
      <c r="G51" s="373">
        <v>0</v>
      </c>
      <c r="H51" s="374" t="s">
        <v>8</v>
      </c>
      <c r="J51" s="42">
        <f>IF(D51="",0,IF(E51="Annually",D51*B51,IF(E51="Monthly",D51*B51*12,D51*B51*52)))</f>
        <v>0</v>
      </c>
      <c r="K51" s="42">
        <f>IF(G51="",0,IF(H51="Annually",G51*B51,IF(H51="Monthly",G51*B51*12,G51*B51*52)))</f>
        <v>0</v>
      </c>
      <c r="O51" s="71"/>
      <c r="P51" s="71"/>
      <c r="Q51" s="71"/>
    </row>
    <row r="52" spans="1:17" ht="12.75" customHeight="1">
      <c r="A52" s="38" t="s">
        <v>34</v>
      </c>
      <c r="B52" s="68">
        <v>1</v>
      </c>
      <c r="D52" s="373">
        <v>0</v>
      </c>
      <c r="E52" s="374" t="s">
        <v>8</v>
      </c>
      <c r="G52" s="373">
        <v>0</v>
      </c>
      <c r="H52" s="374" t="s">
        <v>8</v>
      </c>
      <c r="J52" s="42">
        <f>IF(D52="",0,IF(E52="Annually",D52*B52,IF(E52="Monthly",D52*B52*12,D52*B52*52)))</f>
        <v>0</v>
      </c>
      <c r="K52" s="42">
        <f>IF(G52="",0,IF(H52="Annually",G52*B52,IF(H52="Monthly",G52*B52*12,G52*B52*52)))</f>
        <v>0</v>
      </c>
    </row>
    <row r="53" spans="1:17" ht="12.75" customHeight="1">
      <c r="A53" s="38"/>
      <c r="B53" s="68"/>
      <c r="N53" s="82" t="s">
        <v>410</v>
      </c>
      <c r="O53" s="83">
        <f>SUM(O22-O50)</f>
        <v>0</v>
      </c>
      <c r="P53" s="83"/>
      <c r="Q53" s="83">
        <f>SUM(Q22-Q50)</f>
        <v>0</v>
      </c>
    </row>
    <row r="54" spans="1:17" ht="12.75" customHeight="1">
      <c r="A54" s="36" t="s">
        <v>208</v>
      </c>
      <c r="B54" s="65"/>
      <c r="D54" s="85"/>
      <c r="G54" s="85"/>
      <c r="N54" s="86"/>
      <c r="O54" s="82"/>
      <c r="P54" s="83"/>
      <c r="Q54" s="83"/>
    </row>
    <row r="55" spans="1:17" ht="12.75" customHeight="1">
      <c r="A55" s="38" t="s">
        <v>107</v>
      </c>
      <c r="B55" s="68">
        <v>1</v>
      </c>
      <c r="D55" s="375">
        <v>0</v>
      </c>
      <c r="E55" s="374" t="s">
        <v>8</v>
      </c>
      <c r="G55" s="375">
        <v>0</v>
      </c>
      <c r="H55" s="374" t="s">
        <v>8</v>
      </c>
      <c r="J55" s="42">
        <f>IF(D55="",0,IF(E55="Annually",D55*B55,IF(E55="Monthly",D55*B55*12,D55*B55*52)))</f>
        <v>0</v>
      </c>
      <c r="K55" s="42">
        <f>IF(G55="",0,IF(H55="Annually",G55*B55,IF(H55="Monthly",G55*B55*12,G55*B55*52)))</f>
        <v>0</v>
      </c>
      <c r="N55" s="82" t="s">
        <v>36</v>
      </c>
      <c r="O55" s="87">
        <f>SUM(O53/12)</f>
        <v>0</v>
      </c>
      <c r="P55" s="82"/>
      <c r="Q55" s="83">
        <f>SUM(Q53/12)</f>
        <v>0</v>
      </c>
    </row>
    <row r="56" spans="1:17" ht="12.75" customHeight="1">
      <c r="A56" s="38" t="s">
        <v>34</v>
      </c>
      <c r="B56" s="68">
        <v>1</v>
      </c>
      <c r="D56" s="375">
        <v>0</v>
      </c>
      <c r="E56" s="374" t="s">
        <v>8</v>
      </c>
      <c r="G56" s="375">
        <v>0</v>
      </c>
      <c r="H56" s="374" t="s">
        <v>8</v>
      </c>
      <c r="J56" s="42">
        <f>IF(D56="",0,IF(E56="Annually",D56*B56,IF(E56="Monthly",D56*B56*12,D56*B56*52)))</f>
        <v>0</v>
      </c>
      <c r="K56" s="42">
        <f>IF(G56="",0,IF(H56="Annually",G56*B56,IF(H56="Monthly",G56*B56*12,G56*B56*52)))</f>
        <v>0</v>
      </c>
      <c r="N56" s="74"/>
      <c r="O56" s="71"/>
      <c r="P56" s="71"/>
      <c r="Q56" s="71"/>
    </row>
    <row r="57" spans="1:17" ht="12.75" customHeight="1">
      <c r="A57" s="88"/>
    </row>
    <row r="58" spans="1:17" ht="12.75" customHeight="1">
      <c r="A58" s="38" t="s">
        <v>410</v>
      </c>
      <c r="D58" s="80">
        <f>O53</f>
        <v>0</v>
      </c>
      <c r="E58" s="41" t="s">
        <v>46</v>
      </c>
      <c r="G58" s="80">
        <f>Q53</f>
        <v>0</v>
      </c>
      <c r="H58" s="41" t="s">
        <v>46</v>
      </c>
      <c r="N58" s="74"/>
      <c r="O58" s="71"/>
      <c r="P58" s="71"/>
      <c r="Q58" s="71"/>
    </row>
    <row r="59" spans="1:17" ht="12.75" customHeight="1">
      <c r="A59" s="39"/>
      <c r="N59" s="74"/>
      <c r="O59" s="71"/>
      <c r="P59" s="71"/>
      <c r="Q59" s="71"/>
    </row>
    <row r="60" spans="1:17" ht="12.75" customHeight="1">
      <c r="A60" s="38" t="s">
        <v>36</v>
      </c>
      <c r="B60" s="65"/>
      <c r="D60" s="78">
        <f>O55</f>
        <v>0</v>
      </c>
      <c r="E60" s="41" t="s">
        <v>8</v>
      </c>
      <c r="G60" s="78">
        <f>Q55</f>
        <v>0</v>
      </c>
      <c r="H60" s="41" t="str">
        <f>E60</f>
        <v>Monthly</v>
      </c>
      <c r="M60" s="66"/>
      <c r="N60" s="74"/>
      <c r="O60" s="71"/>
      <c r="P60" s="71"/>
      <c r="Q60" s="71"/>
    </row>
    <row r="61" spans="1:17" ht="12.75" customHeight="1">
      <c r="N61" s="74"/>
      <c r="O61" s="71"/>
      <c r="P61" s="71"/>
      <c r="Q61" s="71"/>
    </row>
    <row r="62" spans="1:17" ht="12.75" customHeight="1">
      <c r="A62" s="429" t="s">
        <v>218</v>
      </c>
      <c r="B62" s="429"/>
      <c r="C62" s="429"/>
      <c r="D62" s="429"/>
      <c r="E62" s="429"/>
      <c r="F62" s="429"/>
      <c r="G62" s="429"/>
      <c r="H62" s="429"/>
      <c r="O62" s="430"/>
      <c r="P62" s="431"/>
      <c r="Q62" s="431"/>
    </row>
    <row r="63" spans="1:17" ht="12.75" customHeight="1">
      <c r="O63" s="71"/>
    </row>
    <row r="64" spans="1:17">
      <c r="A64" s="89" t="s">
        <v>414</v>
      </c>
      <c r="B64" s="65"/>
      <c r="D64" s="85"/>
      <c r="G64" s="85"/>
      <c r="M64" s="432" t="s">
        <v>415</v>
      </c>
      <c r="N64" s="433"/>
      <c r="O64" s="90"/>
      <c r="P64" s="71"/>
      <c r="Q64" s="90"/>
    </row>
    <row r="65" spans="1:21">
      <c r="A65" s="426" t="s">
        <v>564</v>
      </c>
      <c r="B65" s="427">
        <v>1</v>
      </c>
      <c r="C65" s="409"/>
      <c r="D65" s="410">
        <v>0</v>
      </c>
      <c r="E65" s="409" t="s">
        <v>8</v>
      </c>
      <c r="F65" s="409"/>
      <c r="G65" s="410">
        <v>0</v>
      </c>
      <c r="H65" s="409" t="s">
        <v>8</v>
      </c>
      <c r="J65" s="42">
        <f t="shared" ref="J65:J71" si="10">IF(D65="",0,IF(E65="Annually",D65*B65,IF(E65="Monthly",D65*B65*12,D65*B65*52)))</f>
        <v>0</v>
      </c>
      <c r="K65" s="42">
        <f t="shared" ref="K65:K71" si="11">IF(G65="",0,IF(H65="Annually",G65*B65,IF(H65="Monthly",G65*B65*12,G65*B65*52)))</f>
        <v>0</v>
      </c>
      <c r="M65" s="434"/>
      <c r="N65" s="435"/>
      <c r="Q65" s="71"/>
    </row>
    <row r="66" spans="1:21">
      <c r="A66" s="426" t="s">
        <v>565</v>
      </c>
      <c r="B66" s="427">
        <v>0.5</v>
      </c>
      <c r="C66" s="409"/>
      <c r="D66" s="410">
        <v>0</v>
      </c>
      <c r="E66" s="409" t="s">
        <v>8</v>
      </c>
      <c r="F66" s="409"/>
      <c r="G66" s="410">
        <v>0</v>
      </c>
      <c r="H66" s="409" t="s">
        <v>8</v>
      </c>
      <c r="J66" s="42">
        <f t="shared" si="10"/>
        <v>0</v>
      </c>
      <c r="K66" s="42">
        <f t="shared" si="11"/>
        <v>0</v>
      </c>
      <c r="M66" s="434"/>
      <c r="N66" s="435"/>
      <c r="Q66" s="71"/>
    </row>
    <row r="67" spans="1:21">
      <c r="A67" s="38" t="s">
        <v>43</v>
      </c>
      <c r="B67" s="68">
        <v>1</v>
      </c>
      <c r="D67" s="410">
        <v>0</v>
      </c>
      <c r="E67" s="41" t="s">
        <v>8</v>
      </c>
      <c r="G67" s="410">
        <v>0</v>
      </c>
      <c r="H67" s="41" t="s">
        <v>8</v>
      </c>
      <c r="J67" s="42">
        <f t="shared" si="10"/>
        <v>0</v>
      </c>
      <c r="K67" s="42">
        <f t="shared" si="11"/>
        <v>0</v>
      </c>
      <c r="M67" s="434"/>
      <c r="N67" s="435"/>
      <c r="P67" s="91"/>
      <c r="Q67" s="92" t="s">
        <v>422</v>
      </c>
      <c r="R67" s="93"/>
      <c r="S67" s="94"/>
    </row>
    <row r="68" spans="1:21" ht="12.75" customHeight="1">
      <c r="A68" s="426" t="s">
        <v>566</v>
      </c>
      <c r="B68" s="427">
        <v>1</v>
      </c>
      <c r="C68" s="409"/>
      <c r="D68" s="410">
        <v>0</v>
      </c>
      <c r="E68" s="409" t="s">
        <v>8</v>
      </c>
      <c r="F68" s="409"/>
      <c r="G68" s="410">
        <v>0</v>
      </c>
      <c r="H68" s="409" t="s">
        <v>8</v>
      </c>
      <c r="J68" s="42">
        <f t="shared" si="10"/>
        <v>0</v>
      </c>
      <c r="K68" s="42">
        <f t="shared" si="11"/>
        <v>0</v>
      </c>
      <c r="M68" s="436"/>
      <c r="N68" s="437"/>
      <c r="P68" s="95"/>
      <c r="Q68" s="64"/>
      <c r="R68" s="64"/>
      <c r="S68" s="96"/>
    </row>
    <row r="69" spans="1:21">
      <c r="A69" s="426" t="s">
        <v>566</v>
      </c>
      <c r="B69" s="427">
        <v>0.5</v>
      </c>
      <c r="C69" s="409"/>
      <c r="D69" s="410">
        <v>0</v>
      </c>
      <c r="E69" s="409" t="s">
        <v>8</v>
      </c>
      <c r="F69" s="409"/>
      <c r="G69" s="410">
        <v>0</v>
      </c>
      <c r="H69" s="409" t="s">
        <v>8</v>
      </c>
      <c r="J69" s="42">
        <f t="shared" si="10"/>
        <v>0</v>
      </c>
      <c r="K69" s="42">
        <f t="shared" si="11"/>
        <v>0</v>
      </c>
      <c r="P69" s="95"/>
      <c r="Q69" s="97" t="s">
        <v>423</v>
      </c>
      <c r="R69" s="64"/>
      <c r="S69" s="98" t="s">
        <v>424</v>
      </c>
    </row>
    <row r="70" spans="1:21">
      <c r="A70" s="426" t="s">
        <v>567</v>
      </c>
      <c r="B70" s="427">
        <v>1</v>
      </c>
      <c r="C70" s="409"/>
      <c r="D70" s="410">
        <v>0</v>
      </c>
      <c r="E70" s="409" t="s">
        <v>8</v>
      </c>
      <c r="F70" s="409"/>
      <c r="G70" s="410">
        <v>0</v>
      </c>
      <c r="H70" s="409" t="s">
        <v>8</v>
      </c>
      <c r="J70" s="42">
        <f t="shared" si="10"/>
        <v>0</v>
      </c>
      <c r="K70" s="42">
        <f t="shared" si="11"/>
        <v>0</v>
      </c>
      <c r="M70" s="438" t="s">
        <v>347</v>
      </c>
      <c r="N70" s="438"/>
      <c r="P70" s="95" t="s">
        <v>425</v>
      </c>
      <c r="Q70" s="99">
        <f>O24</f>
        <v>0</v>
      </c>
      <c r="R70" s="64"/>
      <c r="S70" s="100">
        <f>Q24</f>
        <v>0</v>
      </c>
    </row>
    <row r="71" spans="1:21">
      <c r="A71" s="428" t="s">
        <v>568</v>
      </c>
      <c r="B71" s="427">
        <v>0.5</v>
      </c>
      <c r="C71" s="409"/>
      <c r="D71" s="410">
        <v>0</v>
      </c>
      <c r="E71" s="409" t="s">
        <v>8</v>
      </c>
      <c r="F71" s="409"/>
      <c r="G71" s="410">
        <v>0</v>
      </c>
      <c r="H71" s="409" t="s">
        <v>8</v>
      </c>
      <c r="J71" s="42">
        <f t="shared" si="10"/>
        <v>0</v>
      </c>
      <c r="K71" s="42">
        <f t="shared" si="11"/>
        <v>0</v>
      </c>
      <c r="M71" s="438"/>
      <c r="N71" s="438"/>
      <c r="P71" s="95" t="s">
        <v>426</v>
      </c>
      <c r="Q71" s="99">
        <f>SUM(O46:O47)</f>
        <v>0</v>
      </c>
      <c r="R71" s="64"/>
      <c r="S71" s="100">
        <f>SUM(Q46:Q47)</f>
        <v>0</v>
      </c>
    </row>
    <row r="72" spans="1:21">
      <c r="A72" s="77"/>
      <c r="B72" s="68"/>
      <c r="J72" s="42">
        <f t="shared" ref="J72:J73" si="12">IF(D72="",0,IF(E72="Annually",D72*B72,IF(E72="Monthly",D72*B72*12,D72*B72*52)))</f>
        <v>0</v>
      </c>
      <c r="K72" s="42">
        <f t="shared" ref="K72:K73" si="13">IF(G72="",0,IF(H72="Annually",G72*B72,IF(H72="Monthly",G72*B72*12,G72*B72*52)))</f>
        <v>0</v>
      </c>
      <c r="M72" s="438"/>
      <c r="N72" s="438"/>
      <c r="P72" s="101" t="s">
        <v>427</v>
      </c>
      <c r="Q72" s="102">
        <f>SUM(Q70-Q71)</f>
        <v>0</v>
      </c>
      <c r="R72" s="64"/>
      <c r="S72" s="103">
        <f>SUM(S70-S71)</f>
        <v>0</v>
      </c>
    </row>
    <row r="73" spans="1:21">
      <c r="A73" s="77"/>
      <c r="B73" s="68"/>
      <c r="J73" s="42">
        <f t="shared" si="12"/>
        <v>0</v>
      </c>
      <c r="K73" s="42">
        <f t="shared" si="13"/>
        <v>0</v>
      </c>
      <c r="M73" s="438"/>
      <c r="N73" s="438"/>
      <c r="P73" s="95"/>
      <c r="Q73" s="64"/>
      <c r="R73" s="64"/>
      <c r="S73" s="96"/>
    </row>
    <row r="74" spans="1:21">
      <c r="A74" s="44" t="s">
        <v>227</v>
      </c>
      <c r="D74" s="78">
        <f>SUMPRODUCT(B65:B73,D65:D73)</f>
        <v>0</v>
      </c>
      <c r="E74" s="41" t="s">
        <v>8</v>
      </c>
      <c r="F74" s="105"/>
      <c r="G74" s="78">
        <f>SUMPRODUCT(B65:B73,G65:G73)</f>
        <v>0</v>
      </c>
      <c r="H74" s="41" t="s">
        <v>8</v>
      </c>
      <c r="M74" s="438"/>
      <c r="N74" s="438"/>
      <c r="P74" s="101" t="s">
        <v>407</v>
      </c>
      <c r="Q74" s="99">
        <f>O26</f>
        <v>0</v>
      </c>
      <c r="R74" s="104"/>
      <c r="S74" s="100">
        <f>Q26</f>
        <v>0</v>
      </c>
    </row>
    <row r="75" spans="1:21">
      <c r="M75" s="438"/>
      <c r="N75" s="438"/>
      <c r="P75" s="101" t="s">
        <v>428</v>
      </c>
      <c r="Q75" s="99">
        <f>O48</f>
        <v>0</v>
      </c>
      <c r="R75" s="64"/>
      <c r="S75" s="100">
        <f>Q48</f>
        <v>0</v>
      </c>
    </row>
    <row r="76" spans="1:21">
      <c r="A76" s="41" t="s">
        <v>228</v>
      </c>
      <c r="D76" s="85"/>
      <c r="G76" s="85"/>
      <c r="M76" s="438"/>
      <c r="N76" s="438"/>
      <c r="P76" s="101" t="s">
        <v>429</v>
      </c>
      <c r="Q76" s="102">
        <f>SUM(Q74-Q75)</f>
        <v>0</v>
      </c>
      <c r="R76" s="64"/>
      <c r="S76" s="103">
        <f>SUM(S74-S75)</f>
        <v>0</v>
      </c>
      <c r="U76" s="41" t="s">
        <v>32</v>
      </c>
    </row>
    <row r="77" spans="1:21">
      <c r="M77" s="438"/>
      <c r="N77" s="438"/>
      <c r="P77" s="95"/>
      <c r="Q77" s="64"/>
      <c r="R77" s="64"/>
      <c r="S77" s="96"/>
    </row>
    <row r="78" spans="1:21">
      <c r="A78" s="411" t="s">
        <v>570</v>
      </c>
      <c r="B78" s="412" t="s">
        <v>571</v>
      </c>
      <c r="C78" s="413"/>
      <c r="D78" s="414" t="s">
        <v>570</v>
      </c>
      <c r="E78" s="413"/>
      <c r="F78" s="413"/>
      <c r="G78" s="415" t="s">
        <v>571</v>
      </c>
      <c r="P78" s="106" t="s">
        <v>430</v>
      </c>
      <c r="Q78" s="107">
        <f>SUM(Q72+Q76)</f>
        <v>0</v>
      </c>
      <c r="R78" s="108"/>
      <c r="S78" s="109">
        <f>SUM(S72+S76)</f>
        <v>0</v>
      </c>
    </row>
    <row r="79" spans="1:21">
      <c r="A79" s="416" t="s">
        <v>572</v>
      </c>
      <c r="B79" s="417">
        <v>1</v>
      </c>
      <c r="C79" s="418"/>
      <c r="D79" s="418" t="s">
        <v>573</v>
      </c>
      <c r="E79" s="418"/>
      <c r="F79" s="418"/>
      <c r="G79" s="419">
        <v>1</v>
      </c>
      <c r="P79" s="110"/>
    </row>
    <row r="80" spans="1:21" ht="16.8">
      <c r="A80" s="416" t="s">
        <v>567</v>
      </c>
      <c r="B80" s="417">
        <v>1</v>
      </c>
      <c r="C80" s="418"/>
      <c r="D80" s="418" t="s">
        <v>574</v>
      </c>
      <c r="E80" s="418"/>
      <c r="F80" s="418"/>
      <c r="G80" s="419">
        <v>1</v>
      </c>
      <c r="N80" s="111" t="s">
        <v>223</v>
      </c>
      <c r="O80" s="367" t="s">
        <v>0</v>
      </c>
      <c r="P80" s="42"/>
      <c r="Q80" s="367" t="s">
        <v>1</v>
      </c>
    </row>
    <row r="81" spans="1:19">
      <c r="A81" s="416" t="s">
        <v>568</v>
      </c>
      <c r="B81" s="417">
        <v>0.5</v>
      </c>
      <c r="C81" s="418"/>
      <c r="D81" s="418" t="s">
        <v>575</v>
      </c>
      <c r="E81" s="418"/>
      <c r="F81" s="418"/>
      <c r="G81" s="419">
        <v>0.5</v>
      </c>
      <c r="O81" s="112">
        <f>IF(O99&lt;=W20,0,IF(O99&lt;=W23+W20,X34,IF(O99&lt;=W24,X35,X36)))</f>
        <v>0</v>
      </c>
      <c r="P81" s="42"/>
      <c r="Q81" s="112">
        <f>IF(Q99&lt;=AC20,0,IF(Q99&lt;=AC23+AC20,AD34,IF(Q99&lt;=AC24,AD35,AD36)))</f>
        <v>0</v>
      </c>
    </row>
    <row r="82" spans="1:19">
      <c r="A82" s="416" t="s">
        <v>576</v>
      </c>
      <c r="B82" s="417">
        <v>0.5</v>
      </c>
      <c r="C82" s="418"/>
      <c r="D82" s="418" t="s">
        <v>577</v>
      </c>
      <c r="E82" s="418"/>
      <c r="F82" s="418"/>
      <c r="G82" s="419">
        <v>1</v>
      </c>
      <c r="N82" s="113"/>
      <c r="O82" s="42"/>
      <c r="P82" s="110"/>
      <c r="Q82" s="114"/>
    </row>
    <row r="83" spans="1:19">
      <c r="A83" s="416" t="s">
        <v>578</v>
      </c>
      <c r="B83" s="417">
        <v>0.5</v>
      </c>
      <c r="C83" s="418"/>
      <c r="D83" s="418" t="s">
        <v>579</v>
      </c>
      <c r="E83" s="420"/>
      <c r="F83" s="420"/>
      <c r="G83" s="419">
        <v>0.5</v>
      </c>
      <c r="N83" s="115" t="s">
        <v>358</v>
      </c>
      <c r="O83" s="112">
        <f>MAX(O81,Q81)</f>
        <v>0</v>
      </c>
      <c r="P83" s="42"/>
      <c r="Q83" s="42"/>
    </row>
    <row r="84" spans="1:19">
      <c r="A84" s="416" t="s">
        <v>580</v>
      </c>
      <c r="B84" s="417">
        <v>0.5</v>
      </c>
      <c r="C84" s="418"/>
      <c r="D84" s="418" t="s">
        <v>581</v>
      </c>
      <c r="E84" s="418"/>
      <c r="F84" s="418"/>
      <c r="G84" s="419">
        <v>1</v>
      </c>
    </row>
    <row r="85" spans="1:19">
      <c r="A85" s="421" t="s">
        <v>582</v>
      </c>
      <c r="B85" s="422">
        <v>1</v>
      </c>
      <c r="C85" s="423"/>
      <c r="D85" s="423" t="s">
        <v>583</v>
      </c>
      <c r="E85" s="423"/>
      <c r="F85" s="423"/>
      <c r="G85" s="424">
        <v>0</v>
      </c>
    </row>
    <row r="86" spans="1:19">
      <c r="N86" s="116" t="s">
        <v>379</v>
      </c>
      <c r="P86" s="69"/>
      <c r="Q86" s="114"/>
    </row>
    <row r="87" spans="1:19">
      <c r="N87" s="43" t="s">
        <v>380</v>
      </c>
      <c r="O87" s="117">
        <v>0.2</v>
      </c>
      <c r="Q87" s="114"/>
    </row>
    <row r="88" spans="1:19">
      <c r="N88" s="43" t="s">
        <v>381</v>
      </c>
      <c r="O88" s="117">
        <v>0.4</v>
      </c>
      <c r="Q88" s="114"/>
    </row>
    <row r="89" spans="1:19">
      <c r="N89" s="43" t="s">
        <v>382</v>
      </c>
      <c r="O89" s="112">
        <v>0.45</v>
      </c>
    </row>
    <row r="90" spans="1:19">
      <c r="N90" s="43" t="s">
        <v>384</v>
      </c>
      <c r="O90" s="112">
        <f>Affordability!M132</f>
        <v>0.2</v>
      </c>
    </row>
    <row r="91" spans="1:19">
      <c r="O91" s="42"/>
    </row>
    <row r="92" spans="1:19">
      <c r="O92" s="42"/>
      <c r="Q92" s="118" t="s">
        <v>446</v>
      </c>
      <c r="R92" s="119"/>
    </row>
    <row r="93" spans="1:19">
      <c r="N93" s="43" t="s">
        <v>385</v>
      </c>
      <c r="O93" s="112">
        <f>IF(Q93="Yes",O87,IF(Q93="No",IF(O81+Q81=0,O90,O83)))</f>
        <v>0.2</v>
      </c>
      <c r="Q93" s="120" t="str">
        <f>Affordability!I97</f>
        <v>No</v>
      </c>
      <c r="R93" s="121"/>
    </row>
    <row r="95" spans="1:19">
      <c r="N95" s="43" t="str">
        <f>IF(Q93="Yes","Holiday Let - Tax applied to profits at Basic rate",IF(Q93="No",IF(O81+Q81=0,"Rate of tax applied to profits based on tax band selected","Rate of tax applied to profits based on Income entered")))</f>
        <v>Rate of tax applied to profits based on tax band selected</v>
      </c>
      <c r="P95" s="122"/>
      <c r="Q95" s="42"/>
      <c r="R95" s="122"/>
    </row>
    <row r="96" spans="1:19">
      <c r="S96" s="42"/>
    </row>
    <row r="97" spans="14:19">
      <c r="N97" s="123" t="s">
        <v>516</v>
      </c>
      <c r="O97" s="82"/>
      <c r="P97" s="82"/>
      <c r="Q97" s="82"/>
      <c r="S97" s="114"/>
    </row>
    <row r="98" spans="14:19" ht="16.8">
      <c r="N98" s="82"/>
      <c r="O98" s="124" t="s">
        <v>0</v>
      </c>
      <c r="P98" s="125"/>
      <c r="Q98" s="124" t="s">
        <v>1</v>
      </c>
    </row>
    <row r="99" spans="14:19">
      <c r="N99" s="82" t="s">
        <v>517</v>
      </c>
      <c r="O99" s="87">
        <f>SUM(J21:J47)</f>
        <v>0</v>
      </c>
      <c r="P99" s="82"/>
      <c r="Q99" s="87">
        <f>SUM(K21:K47)</f>
        <v>0</v>
      </c>
      <c r="R99" s="69"/>
    </row>
    <row r="101" spans="14:19">
      <c r="P101" s="69"/>
      <c r="Q101" s="114"/>
    </row>
    <row r="102" spans="14:19">
      <c r="P102" s="69"/>
      <c r="Q102" s="114"/>
    </row>
    <row r="121" spans="15:16">
      <c r="P121" s="71"/>
    </row>
    <row r="122" spans="15:16">
      <c r="P122" s="71"/>
    </row>
    <row r="123" spans="15:16">
      <c r="P123" s="71"/>
    </row>
    <row r="124" spans="15:16">
      <c r="P124" s="71"/>
    </row>
    <row r="125" spans="15:16">
      <c r="P125" s="71"/>
    </row>
    <row r="126" spans="15:16">
      <c r="P126" s="71"/>
    </row>
    <row r="127" spans="15:16">
      <c r="O127" s="53"/>
      <c r="P127" s="71"/>
    </row>
    <row r="128" spans="15:16">
      <c r="O128" s="53"/>
      <c r="P128" s="71"/>
    </row>
    <row r="129" spans="15:16">
      <c r="O129" s="53"/>
      <c r="P129" s="71"/>
    </row>
    <row r="130" spans="15:16">
      <c r="O130" s="53"/>
      <c r="P130" s="71"/>
    </row>
    <row r="131" spans="15:16">
      <c r="O131" s="71"/>
      <c r="P131" s="71"/>
    </row>
    <row r="132" spans="15:16">
      <c r="O132" s="53"/>
      <c r="P132" s="71"/>
    </row>
    <row r="133" spans="15:16">
      <c r="O133" s="53"/>
      <c r="P133" s="71"/>
    </row>
    <row r="135" spans="15:16">
      <c r="O135" s="53"/>
    </row>
    <row r="136" spans="15:16">
      <c r="O136" s="71"/>
    </row>
  </sheetData>
  <sheetProtection algorithmName="SHA-512" hashValue="5bDwxRgbOS9+mSTuIihC9JBUz9rLc2yHvoWc+hSvP7Bp/M9OL1X4uzHaz2ZDwQqXIH1SS7WYVMIOHVC6F1Thhw==" saltValue="V+awp2e7IJjNRZFO/TtDBg==" spinCount="100000" sheet="1" objects="1" scenarios="1"/>
  <mergeCells count="14">
    <mergeCell ref="A2:C2"/>
    <mergeCell ref="A3:C3"/>
    <mergeCell ref="D11:E11"/>
    <mergeCell ref="G11:H11"/>
    <mergeCell ref="D13:E13"/>
    <mergeCell ref="G13:H13"/>
    <mergeCell ref="A5:C5"/>
    <mergeCell ref="A6:C6"/>
    <mergeCell ref="A62:H62"/>
    <mergeCell ref="O62:Q62"/>
    <mergeCell ref="M64:N68"/>
    <mergeCell ref="M70:N77"/>
    <mergeCell ref="A15:A16"/>
    <mergeCell ref="D15:H15"/>
  </mergeCells>
  <phoneticPr fontId="29" type="noConversion"/>
  <dataValidations count="4">
    <dataValidation type="list" allowBlank="1" showInputMessage="1" showErrorMessage="1" sqref="E50:E52 E26:E30 E34:E38 E43:E45 H55:H56 E55:E56 H43:H45 H50:H52 H34:H38 H21:H23 E21:E23 H26:H30" xr:uid="{00000000-0002-0000-0000-000000000000}">
      <formula1>$S$15:$S$17</formula1>
    </dataValidation>
    <dataValidation type="list" allowBlank="1" showInputMessage="1" showErrorMessage="1" sqref="D13 G13" xr:uid="{00000000-0002-0000-0000-000001000000}">
      <formula1>$N$6:$N$8</formula1>
    </dataValidation>
    <dataValidation allowBlank="1" showInputMessage="1" showErrorMessage="1" error="Please enter only the numbers from the tax code" sqref="E18 H18" xr:uid="{00000000-0002-0000-0000-000002000000}"/>
    <dataValidation type="whole" allowBlank="1" showInputMessage="1" showErrorMessage="1" sqref="D18 G18" xr:uid="{00000000-0002-0000-0000-000003000000}">
      <formula1>0</formula1>
      <formula2>999999</formula2>
    </dataValidation>
  </dataValidations>
  <pageMargins left="0.7" right="0.7" top="0.75" bottom="0.75" header="0.3" footer="0.3"/>
  <pageSetup paperSize="9" scale="6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06"/>
  <sheetViews>
    <sheetView showGridLines="0" zoomScale="84" zoomScaleNormal="84" workbookViewId="0">
      <selection activeCell="G17" sqref="G17"/>
    </sheetView>
  </sheetViews>
  <sheetFormatPr defaultColWidth="9.109375" defaultRowHeight="13.2"/>
  <cols>
    <col min="1" max="1" width="14.5546875" style="127" customWidth="1"/>
    <col min="2" max="2" width="11.33203125" style="127" customWidth="1"/>
    <col min="3" max="3" width="24.33203125" style="127" customWidth="1"/>
    <col min="4" max="4" width="14.77734375" style="129" customWidth="1"/>
    <col min="5" max="5" width="13.21875" style="127" customWidth="1"/>
    <col min="6" max="6" width="14.33203125" style="126" customWidth="1"/>
    <col min="7" max="7" width="14.109375" style="126" customWidth="1"/>
    <col min="8" max="8" width="15.5546875" style="126" customWidth="1"/>
    <col min="9" max="9" width="14.77734375" style="127" customWidth="1"/>
    <col min="10" max="10" width="10.44140625" style="127" customWidth="1"/>
    <col min="11" max="11" width="11.21875" style="130" hidden="1" customWidth="1"/>
    <col min="12" max="12" width="13.88671875" style="25" hidden="1" customWidth="1"/>
    <col min="13" max="13" width="9.109375" style="25" hidden="1" customWidth="1"/>
    <col min="14" max="14" width="28.21875" style="25" hidden="1" customWidth="1"/>
    <col min="15" max="15" width="14.77734375" style="25" hidden="1" customWidth="1"/>
    <col min="16" max="16" width="15.33203125" style="25" hidden="1" customWidth="1"/>
    <col min="17" max="17" width="10.6640625" style="25" hidden="1" customWidth="1"/>
    <col min="18" max="18" width="16.88671875" style="25" hidden="1" customWidth="1"/>
    <col min="19" max="19" width="22.6640625" style="25" hidden="1" customWidth="1"/>
    <col min="20" max="20" width="13.6640625" style="25" hidden="1" customWidth="1"/>
    <col min="21" max="21" width="15.33203125" style="25" hidden="1" customWidth="1"/>
    <col min="22" max="22" width="13.77734375" style="127" customWidth="1"/>
    <col min="23" max="23" width="1.88671875" style="127" customWidth="1"/>
    <col min="24" max="24" width="11.6640625" style="127" customWidth="1"/>
    <col min="25" max="25" width="13.21875" style="127" customWidth="1"/>
    <col min="26" max="26" width="12.33203125" style="127" customWidth="1"/>
    <col min="27" max="27" width="12.5546875" style="127" customWidth="1"/>
    <col min="28" max="28" width="15" style="25" hidden="1" customWidth="1"/>
    <col min="29" max="29" width="14.109375" style="25" hidden="1" customWidth="1"/>
    <col min="30" max="30" width="21.5546875" style="25" hidden="1" customWidth="1"/>
    <col min="31" max="31" width="14.5546875" style="25" hidden="1" customWidth="1"/>
    <col min="32" max="32" width="19.6640625" style="25" hidden="1" customWidth="1"/>
    <col min="33" max="33" width="20.6640625" style="25" hidden="1" customWidth="1"/>
    <col min="34" max="34" width="15.77734375" style="25" hidden="1" customWidth="1"/>
    <col min="35" max="35" width="18.21875" style="25" hidden="1" customWidth="1"/>
    <col min="36" max="36" width="18.33203125" style="25" hidden="1" customWidth="1"/>
    <col min="37" max="38" width="9.109375" style="25" hidden="1" customWidth="1"/>
    <col min="39" max="39" width="18.6640625" style="25" hidden="1" customWidth="1"/>
    <col min="40" max="40" width="16" style="25" hidden="1" customWidth="1"/>
    <col min="41" max="46" width="9.109375" style="25" hidden="1" customWidth="1"/>
    <col min="47" max="47" width="11.33203125" style="25" hidden="1" customWidth="1"/>
    <col min="48" max="48" width="9.109375" style="25" hidden="1" customWidth="1"/>
    <col min="49" max="66" width="9.109375" style="127" customWidth="1"/>
    <col min="67" max="16384" width="9.109375" style="127"/>
  </cols>
  <sheetData>
    <row r="1" spans="1:47">
      <c r="A1" s="476" t="s">
        <v>17</v>
      </c>
      <c r="B1" s="476"/>
      <c r="C1" s="476"/>
      <c r="D1" s="476"/>
      <c r="E1" s="476"/>
      <c r="F1" s="476"/>
      <c r="K1" s="128" t="s">
        <v>6</v>
      </c>
    </row>
    <row r="2" spans="1:47">
      <c r="A2" s="370" t="s">
        <v>25</v>
      </c>
      <c r="B2" s="385"/>
      <c r="C2" s="369"/>
      <c r="D2" s="369"/>
      <c r="E2" s="472" t="s">
        <v>592</v>
      </c>
      <c r="F2" s="472"/>
      <c r="G2" s="472"/>
      <c r="H2" s="472"/>
      <c r="I2" s="472"/>
      <c r="J2" s="472"/>
      <c r="K2" s="128" t="s">
        <v>8</v>
      </c>
    </row>
    <row r="3" spans="1:47">
      <c r="K3" s="128" t="s">
        <v>14</v>
      </c>
    </row>
    <row r="4" spans="1:47" ht="14.4">
      <c r="A4" s="450" t="s">
        <v>18</v>
      </c>
      <c r="B4" s="451"/>
      <c r="C4" s="452"/>
      <c r="E4" s="450" t="s">
        <v>19</v>
      </c>
      <c r="F4" s="452"/>
      <c r="M4" s="25" t="s">
        <v>103</v>
      </c>
      <c r="X4" s="131"/>
    </row>
    <row r="5" spans="1:47" ht="15">
      <c r="A5" s="480"/>
      <c r="B5" s="481"/>
      <c r="C5" s="482"/>
      <c r="E5" s="490"/>
      <c r="F5" s="491"/>
      <c r="H5" s="132" t="str">
        <f>IF(I97="Yes","HOLIDAY LET MORTGAGE",IF(I97="No",""))</f>
        <v/>
      </c>
      <c r="K5" s="133">
        <v>9.9999999999999995E-7</v>
      </c>
    </row>
    <row r="6" spans="1:47">
      <c r="K6" s="134">
        <v>0.1</v>
      </c>
    </row>
    <row r="7" spans="1:47">
      <c r="A7" s="16" t="s">
        <v>434</v>
      </c>
      <c r="E7" s="16" t="s">
        <v>590</v>
      </c>
      <c r="Q7" s="135"/>
      <c r="R7" s="135"/>
      <c r="S7" s="135"/>
      <c r="T7" s="479"/>
      <c r="U7" s="479"/>
      <c r="AF7" s="136"/>
      <c r="AL7" s="137"/>
      <c r="AM7" s="137"/>
      <c r="AN7" s="137"/>
      <c r="AO7" s="137"/>
      <c r="AP7" s="137"/>
      <c r="AQ7" s="137"/>
      <c r="AR7" s="137"/>
      <c r="AS7" s="137"/>
      <c r="AT7" s="137"/>
    </row>
    <row r="8" spans="1:47">
      <c r="H8" s="138" t="s">
        <v>32</v>
      </c>
      <c r="U8" s="139"/>
      <c r="AF8" s="140"/>
    </row>
    <row r="9" spans="1:47">
      <c r="A9" s="16" t="s">
        <v>20</v>
      </c>
      <c r="F9" s="126" t="s">
        <v>5</v>
      </c>
      <c r="I9" s="28" t="s">
        <v>32</v>
      </c>
      <c r="K9" s="128" t="s">
        <v>6</v>
      </c>
      <c r="AF9" s="141"/>
    </row>
    <row r="10" spans="1:47">
      <c r="K10" s="128" t="s">
        <v>7</v>
      </c>
      <c r="AF10" s="141"/>
    </row>
    <row r="11" spans="1:47">
      <c r="A11" s="127" t="s">
        <v>15</v>
      </c>
      <c r="B11" s="127" t="s">
        <v>0</v>
      </c>
      <c r="C11" s="142">
        <f>Income!D60</f>
        <v>0</v>
      </c>
      <c r="F11" s="143" t="str">
        <f>Income!E60</f>
        <v>Monthly</v>
      </c>
      <c r="K11" s="144">
        <f>IF(F11=$K$2,C11*12,IF(F11=$K$3,C11*52,C11))</f>
        <v>0</v>
      </c>
      <c r="L11" s="145" t="s">
        <v>101</v>
      </c>
      <c r="AF11" s="141"/>
      <c r="AJ11" s="146" t="s">
        <v>348</v>
      </c>
      <c r="AK11" s="147"/>
      <c r="AL11" s="147"/>
      <c r="AM11" s="147"/>
      <c r="AN11" s="148" t="s">
        <v>443</v>
      </c>
      <c r="AO11" s="147"/>
      <c r="AP11" s="147"/>
      <c r="AQ11" s="147"/>
    </row>
    <row r="12" spans="1:47">
      <c r="B12" s="127" t="s">
        <v>1</v>
      </c>
      <c r="C12" s="142">
        <f>Income!G60</f>
        <v>0</v>
      </c>
      <c r="F12" s="143" t="str">
        <f>Income!H60</f>
        <v>Monthly</v>
      </c>
      <c r="K12" s="144">
        <f>IF(F12=$K$2,C12*12,IF(F12=$K$3,C12*52,C12))</f>
        <v>0</v>
      </c>
      <c r="L12" s="145" t="s">
        <v>102</v>
      </c>
      <c r="AF12" s="140"/>
      <c r="AG12" s="25" t="s">
        <v>142</v>
      </c>
      <c r="AH12" s="135">
        <f>IF(D23&gt;0,0,COUNTIF(P19:P20,"Yes"))</f>
        <v>0</v>
      </c>
    </row>
    <row r="13" spans="1:47" ht="14.4">
      <c r="B13" s="127" t="s">
        <v>3</v>
      </c>
      <c r="D13" s="149">
        <f>C11+C12</f>
        <v>0</v>
      </c>
      <c r="F13" s="127"/>
      <c r="H13" s="150"/>
      <c r="K13" s="144"/>
      <c r="AF13" s="136"/>
      <c r="AG13" s="151" t="s">
        <v>143</v>
      </c>
      <c r="AH13" s="135">
        <f>D22-AH12</f>
        <v>2</v>
      </c>
      <c r="AI13" s="135"/>
      <c r="AJ13" s="152" t="s">
        <v>58</v>
      </c>
      <c r="AK13" s="153"/>
      <c r="AL13" s="154" t="s">
        <v>59</v>
      </c>
      <c r="AM13" s="155" t="s">
        <v>60</v>
      </c>
      <c r="AN13" s="155" t="s">
        <v>61</v>
      </c>
      <c r="AO13" s="155" t="s">
        <v>62</v>
      </c>
      <c r="AP13" s="155" t="s">
        <v>63</v>
      </c>
      <c r="AQ13" s="155" t="s">
        <v>33</v>
      </c>
      <c r="AR13" s="155" t="s">
        <v>64</v>
      </c>
      <c r="AS13" s="154" t="s">
        <v>65</v>
      </c>
      <c r="AT13" s="155" t="s">
        <v>114</v>
      </c>
      <c r="AU13" s="156" t="s">
        <v>3</v>
      </c>
    </row>
    <row r="14" spans="1:47" ht="12.75" customHeight="1">
      <c r="A14" s="425" t="s">
        <v>568</v>
      </c>
      <c r="D14" s="323">
        <f>(Income!D71+Income!G71)*Income!B71</f>
        <v>0</v>
      </c>
      <c r="F14" s="143" t="s">
        <v>8</v>
      </c>
      <c r="H14" s="150"/>
      <c r="J14" s="127" t="s">
        <v>32</v>
      </c>
      <c r="K14" s="144">
        <f t="shared" ref="K14:K19" si="0">IF(F14=$K$2,D14*12,IF(F14=$K$3,D14*52,D14))</f>
        <v>0</v>
      </c>
      <c r="L14" s="26" t="s">
        <v>234</v>
      </c>
      <c r="AG14" s="151"/>
      <c r="AH14" s="135"/>
      <c r="AI14" s="135"/>
      <c r="AJ14" s="155"/>
      <c r="AK14" s="153"/>
      <c r="AL14" s="154" t="s">
        <v>66</v>
      </c>
      <c r="AM14" s="153"/>
      <c r="AN14" s="153"/>
      <c r="AO14" s="153"/>
      <c r="AP14" s="153"/>
      <c r="AQ14" s="153"/>
      <c r="AR14" s="153"/>
      <c r="AS14" s="157"/>
      <c r="AT14" s="153" t="s">
        <v>115</v>
      </c>
    </row>
    <row r="15" spans="1:47" ht="12.75" customHeight="1">
      <c r="A15" t="s">
        <v>567</v>
      </c>
      <c r="D15" s="323">
        <f>(Income!D70+Income!G70)*Income!B70</f>
        <v>0</v>
      </c>
      <c r="F15" s="143" t="s">
        <v>8</v>
      </c>
      <c r="H15" s="150"/>
      <c r="K15" s="144">
        <f t="shared" si="0"/>
        <v>0</v>
      </c>
      <c r="L15" s="26" t="s">
        <v>233</v>
      </c>
      <c r="AG15" s="151" t="str">
        <f>IF(AH13=0,AH12&amp;" retired adult, no children",IF(D22=1,"1 adult, ","2 adults, ")&amp;IF(D23=1,"1 child",D23&amp;" children"))</f>
        <v>2 adults, 0 children</v>
      </c>
      <c r="AH15" s="135" t="str">
        <f>VLOOKUP(AG15,$AG$18:$AH$26,2)</f>
        <v>B</v>
      </c>
      <c r="AI15" s="135"/>
      <c r="AJ15" s="155"/>
      <c r="AK15" s="153"/>
      <c r="AL15" s="158" t="s">
        <v>444</v>
      </c>
      <c r="AM15" s="159"/>
      <c r="AN15" s="159"/>
      <c r="AO15" s="159"/>
      <c r="AP15" s="159"/>
      <c r="AQ15" s="159"/>
      <c r="AR15" s="153"/>
      <c r="AS15" s="157" t="s">
        <v>444</v>
      </c>
      <c r="AT15" s="153"/>
    </row>
    <row r="16" spans="1:47" ht="12.75" customHeight="1">
      <c r="A16" t="s">
        <v>569</v>
      </c>
      <c r="D16" s="323">
        <f>(Income!D68+Income!G68)*Income!B68+(Income!D69+Income!G69)*Income!B69</f>
        <v>0</v>
      </c>
      <c r="F16" s="143" t="s">
        <v>8</v>
      </c>
      <c r="H16" s="150"/>
      <c r="K16" s="144">
        <f t="shared" si="0"/>
        <v>0</v>
      </c>
      <c r="L16" s="26" t="s">
        <v>232</v>
      </c>
      <c r="AG16" s="135"/>
      <c r="AH16" s="135"/>
      <c r="AI16" s="135"/>
      <c r="AJ16" s="160" t="s">
        <v>14</v>
      </c>
      <c r="AK16" s="153"/>
      <c r="AL16" s="161"/>
      <c r="AM16" s="162"/>
      <c r="AN16" s="163"/>
      <c r="AO16" s="163"/>
      <c r="AP16" s="163"/>
      <c r="AQ16" s="163"/>
      <c r="AR16" s="163"/>
      <c r="AS16" s="164"/>
      <c r="AT16" s="165"/>
    </row>
    <row r="17" spans="1:47" ht="12.75" customHeight="1">
      <c r="A17" t="s">
        <v>2</v>
      </c>
      <c r="D17" s="323">
        <f>(Income!D65+Income!G65)*Income!B65+(Income!D66+Income!G66)*Income!B66</f>
        <v>0</v>
      </c>
      <c r="F17" s="143" t="s">
        <v>8</v>
      </c>
      <c r="H17" s="150"/>
      <c r="K17" s="144">
        <f t="shared" si="0"/>
        <v>0</v>
      </c>
      <c r="L17" s="26" t="s">
        <v>230</v>
      </c>
      <c r="AG17" s="166" t="s">
        <v>71</v>
      </c>
      <c r="AH17" s="167"/>
      <c r="AI17" s="135"/>
      <c r="AJ17" s="168" t="s">
        <v>72</v>
      </c>
      <c r="AK17" s="155" t="s">
        <v>73</v>
      </c>
      <c r="AL17" s="169">
        <v>70.3</v>
      </c>
      <c r="AM17" s="170">
        <v>11.6</v>
      </c>
      <c r="AN17" s="170">
        <v>5.5</v>
      </c>
      <c r="AO17" s="170">
        <v>31.4</v>
      </c>
      <c r="AP17" s="170">
        <v>9.3000000000000007</v>
      </c>
      <c r="AQ17" s="170">
        <v>9.8000000000000007</v>
      </c>
      <c r="AR17" s="170">
        <v>41.5</v>
      </c>
      <c r="AS17" s="171">
        <v>45.3</v>
      </c>
      <c r="AT17" s="172">
        <v>26.9</v>
      </c>
      <c r="AU17" s="173">
        <f>SUM(AL17:AT17)</f>
        <v>251.6</v>
      </c>
    </row>
    <row r="18" spans="1:47" ht="12.75" customHeight="1">
      <c r="A18" s="127" t="s">
        <v>145</v>
      </c>
      <c r="D18" s="142">
        <f>Income!D67+Income!G67</f>
        <v>0</v>
      </c>
      <c r="F18" s="143" t="s">
        <v>8</v>
      </c>
      <c r="H18" s="150"/>
      <c r="K18" s="144">
        <f t="shared" si="0"/>
        <v>0</v>
      </c>
      <c r="L18" s="26" t="s">
        <v>231</v>
      </c>
      <c r="AF18" s="136"/>
      <c r="AG18" s="151" t="s">
        <v>74</v>
      </c>
      <c r="AH18" s="135" t="s">
        <v>73</v>
      </c>
      <c r="AI18" s="135"/>
      <c r="AJ18" s="168" t="s">
        <v>75</v>
      </c>
      <c r="AK18" s="155" t="s">
        <v>13</v>
      </c>
      <c r="AL18" s="169">
        <v>84.1</v>
      </c>
      <c r="AM18" s="170">
        <v>19.600000000000001</v>
      </c>
      <c r="AN18" s="170">
        <v>7.2</v>
      </c>
      <c r="AO18" s="170">
        <v>61</v>
      </c>
      <c r="AP18" s="170">
        <v>15.2</v>
      </c>
      <c r="AQ18" s="170">
        <v>25.1</v>
      </c>
      <c r="AR18" s="170">
        <v>87</v>
      </c>
      <c r="AS18" s="171">
        <v>97.4</v>
      </c>
      <c r="AT18" s="172">
        <v>49.7</v>
      </c>
      <c r="AU18" s="173">
        <f>SUM(AL18:AT18)</f>
        <v>446.2999999999999</v>
      </c>
    </row>
    <row r="19" spans="1:47" ht="12.75" customHeight="1">
      <c r="A19" s="28"/>
      <c r="D19" s="127"/>
      <c r="F19" s="127"/>
      <c r="H19" s="150"/>
      <c r="K19" s="144">
        <f t="shared" si="0"/>
        <v>0</v>
      </c>
      <c r="L19" s="26" t="s">
        <v>235</v>
      </c>
      <c r="O19" s="174" t="s">
        <v>134</v>
      </c>
      <c r="P19" s="175" t="str">
        <f>Income!D13</f>
        <v>No</v>
      </c>
      <c r="R19" s="26" t="s">
        <v>32</v>
      </c>
      <c r="AG19" s="151" t="s">
        <v>68</v>
      </c>
      <c r="AH19" s="135" t="s">
        <v>69</v>
      </c>
      <c r="AI19" s="135"/>
      <c r="AJ19" s="168" t="s">
        <v>76</v>
      </c>
      <c r="AK19" s="155" t="s">
        <v>69</v>
      </c>
      <c r="AL19" s="169">
        <v>85.2</v>
      </c>
      <c r="AM19" s="170">
        <v>14.8</v>
      </c>
      <c r="AN19" s="170">
        <v>1.3</v>
      </c>
      <c r="AO19" s="170">
        <v>40.5</v>
      </c>
      <c r="AP19" s="170">
        <v>4.7</v>
      </c>
      <c r="AQ19" s="170">
        <v>17.899999999999999</v>
      </c>
      <c r="AR19" s="170">
        <v>38.4</v>
      </c>
      <c r="AS19" s="171">
        <v>44.7</v>
      </c>
      <c r="AT19" s="172">
        <v>35.6</v>
      </c>
      <c r="AU19" s="173">
        <f t="shared" ref="AU19:AU25" si="1">SUM(AL19:AT19)</f>
        <v>283.10000000000002</v>
      </c>
    </row>
    <row r="20" spans="1:47" ht="12.75" customHeight="1">
      <c r="A20" s="16" t="s">
        <v>92</v>
      </c>
      <c r="O20" s="176" t="s">
        <v>135</v>
      </c>
      <c r="P20" s="177" t="str">
        <f>Income!G13</f>
        <v>No</v>
      </c>
      <c r="V20" s="178"/>
      <c r="W20" s="179"/>
      <c r="X20" s="179"/>
      <c r="Y20" s="179"/>
      <c r="AG20" s="151" t="s">
        <v>77</v>
      </c>
      <c r="AH20" s="135" t="s">
        <v>78</v>
      </c>
      <c r="AI20" s="135"/>
      <c r="AJ20" s="168" t="s">
        <v>79</v>
      </c>
      <c r="AK20" s="155" t="s">
        <v>78</v>
      </c>
      <c r="AL20" s="169">
        <v>63.3</v>
      </c>
      <c r="AM20" s="170">
        <v>15.5</v>
      </c>
      <c r="AN20" s="170">
        <v>4.2</v>
      </c>
      <c r="AO20" s="170">
        <v>57.1</v>
      </c>
      <c r="AP20" s="170">
        <v>7.1</v>
      </c>
      <c r="AQ20" s="170">
        <v>25.2</v>
      </c>
      <c r="AR20" s="170">
        <v>48.7</v>
      </c>
      <c r="AS20" s="171">
        <v>40.6</v>
      </c>
      <c r="AT20" s="172">
        <v>23.5</v>
      </c>
      <c r="AU20" s="173">
        <f t="shared" si="1"/>
        <v>285.2</v>
      </c>
    </row>
    <row r="21" spans="1:47">
      <c r="K21" s="144"/>
      <c r="V21" s="179"/>
      <c r="W21" s="179"/>
      <c r="X21" s="179"/>
      <c r="Y21" s="179"/>
      <c r="AG21" s="151" t="s">
        <v>138</v>
      </c>
      <c r="AH21" s="155" t="s">
        <v>140</v>
      </c>
      <c r="AI21" s="135"/>
      <c r="AJ21" s="168" t="s">
        <v>82</v>
      </c>
      <c r="AK21" s="155" t="s">
        <v>83</v>
      </c>
      <c r="AL21" s="169">
        <v>86</v>
      </c>
      <c r="AM21" s="170">
        <v>21.3</v>
      </c>
      <c r="AN21" s="170">
        <v>5.4</v>
      </c>
      <c r="AO21" s="170">
        <v>69.7</v>
      </c>
      <c r="AP21" s="170">
        <v>11.3</v>
      </c>
      <c r="AQ21" s="170">
        <v>26.7</v>
      </c>
      <c r="AR21" s="170">
        <v>68</v>
      </c>
      <c r="AS21" s="171">
        <v>94.4</v>
      </c>
      <c r="AT21" s="172">
        <v>53.4</v>
      </c>
      <c r="AU21" s="173">
        <f t="shared" si="1"/>
        <v>436.19999999999993</v>
      </c>
    </row>
    <row r="22" spans="1:47" ht="12.75" customHeight="1">
      <c r="A22" s="127" t="s">
        <v>67</v>
      </c>
      <c r="D22" s="386">
        <v>2</v>
      </c>
      <c r="F22" s="484" t="s">
        <v>435</v>
      </c>
      <c r="G22" s="485"/>
      <c r="H22" s="485"/>
      <c r="I22" s="486"/>
      <c r="J22" s="127" t="s">
        <v>32</v>
      </c>
      <c r="K22" s="144"/>
      <c r="O22" s="180"/>
      <c r="P22" s="181" t="s">
        <v>224</v>
      </c>
      <c r="Q22" s="182"/>
      <c r="V22" s="183" t="str">
        <f>IF(P25=2, Q31,Q32)</f>
        <v>*Below the state retirement age - see Income tab</v>
      </c>
      <c r="W22" s="179"/>
      <c r="X22" s="179"/>
      <c r="Y22" s="179"/>
      <c r="AG22" s="151" t="s">
        <v>81</v>
      </c>
      <c r="AH22" s="135" t="s">
        <v>13</v>
      </c>
      <c r="AI22" s="135"/>
      <c r="AJ22" s="168" t="s">
        <v>85</v>
      </c>
      <c r="AK22" s="155" t="s">
        <v>86</v>
      </c>
      <c r="AL22" s="169">
        <v>89.2</v>
      </c>
      <c r="AM22" s="170">
        <v>22.6</v>
      </c>
      <c r="AN22" s="170">
        <v>6</v>
      </c>
      <c r="AO22" s="170">
        <v>84</v>
      </c>
      <c r="AP22" s="170">
        <v>12.3</v>
      </c>
      <c r="AQ22" s="170">
        <v>44.2</v>
      </c>
      <c r="AR22" s="170">
        <v>105</v>
      </c>
      <c r="AS22" s="171">
        <v>119.5</v>
      </c>
      <c r="AT22" s="172">
        <v>47.2</v>
      </c>
      <c r="AU22" s="173">
        <f t="shared" si="1"/>
        <v>530</v>
      </c>
    </row>
    <row r="23" spans="1:47">
      <c r="A23" s="127" t="s">
        <v>70</v>
      </c>
      <c r="D23" s="386">
        <v>0</v>
      </c>
      <c r="F23" s="487"/>
      <c r="G23" s="488"/>
      <c r="H23" s="488"/>
      <c r="I23" s="489"/>
      <c r="K23" s="184" t="s">
        <v>6</v>
      </c>
      <c r="O23" s="31"/>
      <c r="P23" s="185">
        <f>IF(P19="Yes",1,IF(P19="N/A",0,IF(P19="No",0)))</f>
        <v>0</v>
      </c>
      <c r="Q23" s="186"/>
      <c r="V23" s="179"/>
      <c r="W23" s="179"/>
      <c r="X23" s="179"/>
      <c r="Y23" s="179"/>
      <c r="AG23" s="151" t="s">
        <v>84</v>
      </c>
      <c r="AH23" s="135" t="s">
        <v>83</v>
      </c>
      <c r="AI23" s="135"/>
      <c r="AJ23" s="168" t="s">
        <v>89</v>
      </c>
      <c r="AK23" s="155" t="s">
        <v>90</v>
      </c>
      <c r="AL23" s="169">
        <v>100.6</v>
      </c>
      <c r="AM23" s="170">
        <v>23.8</v>
      </c>
      <c r="AN23" s="170">
        <v>6.7</v>
      </c>
      <c r="AO23" s="170">
        <v>89.5</v>
      </c>
      <c r="AP23" s="170">
        <v>13.4</v>
      </c>
      <c r="AQ23" s="170">
        <v>35.200000000000003</v>
      </c>
      <c r="AR23" s="170">
        <v>91.9</v>
      </c>
      <c r="AS23" s="171">
        <v>94.3</v>
      </c>
      <c r="AT23" s="172">
        <v>51.3</v>
      </c>
      <c r="AU23" s="173">
        <f t="shared" si="1"/>
        <v>506.70000000000005</v>
      </c>
    </row>
    <row r="24" spans="1:47">
      <c r="K24" s="184" t="s">
        <v>24</v>
      </c>
      <c r="O24" s="31"/>
      <c r="P24" s="185">
        <f>IF(P20="Yes",1,IF(P20="N/A",0,IF(P20="No",0)))</f>
        <v>0</v>
      </c>
      <c r="Q24" s="186"/>
      <c r="V24" s="179"/>
      <c r="W24" s="179"/>
      <c r="X24" s="179"/>
      <c r="Y24" s="179"/>
      <c r="AG24" s="151" t="s">
        <v>88</v>
      </c>
      <c r="AH24" s="135" t="s">
        <v>86</v>
      </c>
      <c r="AI24" s="135"/>
      <c r="AJ24" s="151" t="s">
        <v>138</v>
      </c>
      <c r="AK24" s="155" t="s">
        <v>140</v>
      </c>
      <c r="AL24" s="169">
        <v>41.5</v>
      </c>
      <c r="AM24" s="170">
        <v>9.5</v>
      </c>
      <c r="AN24" s="170">
        <v>3.5</v>
      </c>
      <c r="AO24" s="170">
        <v>33.700000000000003</v>
      </c>
      <c r="AP24" s="170">
        <v>6</v>
      </c>
      <c r="AQ24" s="170">
        <v>7.3</v>
      </c>
      <c r="AR24" s="170">
        <v>39</v>
      </c>
      <c r="AS24" s="171">
        <v>23.3</v>
      </c>
      <c r="AT24" s="172">
        <v>22.5</v>
      </c>
      <c r="AU24" s="173">
        <f t="shared" si="1"/>
        <v>186.3</v>
      </c>
    </row>
    <row r="25" spans="1:47">
      <c r="C25" s="16" t="s">
        <v>493</v>
      </c>
      <c r="D25" s="387" t="s">
        <v>136</v>
      </c>
      <c r="F25" s="187" t="str">
        <f>IF(D25="No","ONS data can be pre-populated by selecting 'Yes' unless already overtyped.",IF(D25="Yes","The expenditure cells in purple below are populated with ONS data but these can be overtyped.  Once overtyped the ONS data cannot be re-populated."))</f>
        <v>The expenditure cells in purple below are populated with ONS data but these can be overtyped.  Once overtyped the ONS data cannot be re-populated.</v>
      </c>
      <c r="H25" s="150"/>
      <c r="K25" s="184" t="s">
        <v>8</v>
      </c>
      <c r="O25" s="31"/>
      <c r="P25" s="185">
        <f>IF(P23+P24&gt;=1,2,0)</f>
        <v>0</v>
      </c>
      <c r="Q25" s="186"/>
      <c r="V25" s="179"/>
      <c r="W25" s="179"/>
      <c r="X25" s="179"/>
      <c r="Y25" s="179"/>
      <c r="AG25" s="151" t="s">
        <v>91</v>
      </c>
      <c r="AH25" s="135" t="s">
        <v>90</v>
      </c>
      <c r="AI25" s="168"/>
      <c r="AJ25" s="151" t="s">
        <v>139</v>
      </c>
      <c r="AK25" s="155" t="s">
        <v>141</v>
      </c>
      <c r="AL25" s="169">
        <v>53.3</v>
      </c>
      <c r="AM25" s="170">
        <v>14.6</v>
      </c>
      <c r="AN25" s="170">
        <v>11.8</v>
      </c>
      <c r="AO25" s="170">
        <v>64.599999999999994</v>
      </c>
      <c r="AP25" s="170">
        <v>14</v>
      </c>
      <c r="AQ25" s="170">
        <v>19</v>
      </c>
      <c r="AR25" s="170">
        <v>92.6</v>
      </c>
      <c r="AS25" s="171">
        <v>66.599999999999994</v>
      </c>
      <c r="AT25" s="172">
        <v>39</v>
      </c>
      <c r="AU25" s="173">
        <f t="shared" si="1"/>
        <v>375.5</v>
      </c>
    </row>
    <row r="26" spans="1:47">
      <c r="A26" s="16" t="s">
        <v>26</v>
      </c>
      <c r="M26" s="130" t="s">
        <v>136</v>
      </c>
      <c r="O26" s="188"/>
      <c r="P26" s="189"/>
      <c r="Q26" s="190"/>
      <c r="AG26" s="151" t="s">
        <v>139</v>
      </c>
      <c r="AH26" s="155" t="s">
        <v>141</v>
      </c>
      <c r="AI26" s="168"/>
      <c r="AJ26" s="153"/>
      <c r="AK26" s="153"/>
      <c r="AL26" s="191"/>
      <c r="AM26" s="192"/>
      <c r="AN26" s="192"/>
      <c r="AO26" s="192"/>
      <c r="AP26" s="192"/>
      <c r="AQ26" s="192"/>
      <c r="AR26" s="189"/>
      <c r="AS26" s="193"/>
      <c r="AT26" s="190"/>
    </row>
    <row r="27" spans="1:47">
      <c r="A27" s="29" t="s">
        <v>122</v>
      </c>
      <c r="D27" s="388">
        <v>0</v>
      </c>
      <c r="F27" s="143" t="s">
        <v>8</v>
      </c>
      <c r="H27" s="150"/>
      <c r="K27" s="144">
        <f t="shared" ref="K27:K33" si="2">IF(F27=$K$2,D27*12,IF(F27=$K$3,D27*52,D27))</f>
        <v>0</v>
      </c>
      <c r="M27" s="130" t="s">
        <v>137</v>
      </c>
      <c r="AG27" s="151"/>
      <c r="AH27" s="135"/>
      <c r="AI27" s="135"/>
      <c r="AJ27" s="168"/>
      <c r="AK27" s="153"/>
      <c r="AL27" s="157"/>
      <c r="AM27" s="153"/>
      <c r="AN27" s="153"/>
      <c r="AO27" s="153"/>
      <c r="AP27" s="153"/>
      <c r="AQ27" s="153"/>
      <c r="AR27" s="153"/>
      <c r="AS27" s="157"/>
      <c r="AT27" s="153"/>
    </row>
    <row r="28" spans="1:47">
      <c r="A28" s="29" t="s">
        <v>27</v>
      </c>
      <c r="D28" s="388">
        <v>0</v>
      </c>
      <c r="E28" s="127" t="s">
        <v>350</v>
      </c>
      <c r="F28" s="143" t="s">
        <v>8</v>
      </c>
      <c r="H28" s="150"/>
      <c r="K28" s="144">
        <f t="shared" si="2"/>
        <v>0</v>
      </c>
      <c r="AG28" s="151"/>
      <c r="AH28" s="135"/>
      <c r="AI28" s="135"/>
      <c r="AJ28" s="168"/>
      <c r="AK28" s="153"/>
      <c r="AL28" s="157"/>
      <c r="AM28" s="153"/>
      <c r="AN28" s="153"/>
      <c r="AO28" s="153"/>
      <c r="AP28" s="153"/>
      <c r="AQ28" s="153"/>
      <c r="AR28" s="153"/>
      <c r="AS28" s="157"/>
      <c r="AT28" s="153"/>
    </row>
    <row r="29" spans="1:47">
      <c r="A29" s="29" t="s">
        <v>9</v>
      </c>
      <c r="D29" s="142">
        <f>H32*I32</f>
        <v>0</v>
      </c>
      <c r="F29" s="143" t="s">
        <v>8</v>
      </c>
      <c r="H29" s="150"/>
      <c r="K29" s="144">
        <f t="shared" si="2"/>
        <v>0</v>
      </c>
      <c r="AG29" s="456" t="s">
        <v>416</v>
      </c>
      <c r="AH29" s="457"/>
      <c r="AI29" s="135"/>
      <c r="AJ29" s="195" t="s">
        <v>8</v>
      </c>
      <c r="AK29" s="153"/>
      <c r="AL29" s="157"/>
      <c r="AM29" s="153"/>
      <c r="AN29" s="153"/>
      <c r="AO29" s="153"/>
      <c r="AP29" s="153"/>
      <c r="AQ29" s="153"/>
      <c r="AR29" s="153"/>
      <c r="AS29" s="157"/>
      <c r="AT29" s="153"/>
    </row>
    <row r="30" spans="1:47" ht="12.75" customHeight="1">
      <c r="A30" s="29" t="s">
        <v>2</v>
      </c>
      <c r="D30" s="388">
        <v>0</v>
      </c>
      <c r="F30" s="143" t="s">
        <v>8</v>
      </c>
      <c r="H30" s="477" t="s">
        <v>10</v>
      </c>
      <c r="I30" s="478"/>
      <c r="K30" s="144">
        <f t="shared" si="2"/>
        <v>0</v>
      </c>
      <c r="AG30" s="196" t="s">
        <v>417</v>
      </c>
      <c r="AH30" s="197" t="s">
        <v>73</v>
      </c>
      <c r="AI30" s="135"/>
      <c r="AJ30" s="168" t="s">
        <v>72</v>
      </c>
      <c r="AK30" s="155" t="s">
        <v>73</v>
      </c>
      <c r="AL30" s="198">
        <f t="shared" ref="AL30:AT30" si="3">AL17*4.333333333333</f>
        <v>304.63333333330991</v>
      </c>
      <c r="AM30" s="199">
        <f t="shared" si="3"/>
        <v>50.2666666666628</v>
      </c>
      <c r="AN30" s="199">
        <f t="shared" si="3"/>
        <v>23.833333333331499</v>
      </c>
      <c r="AO30" s="199">
        <f t="shared" si="3"/>
        <v>136.0666666666562</v>
      </c>
      <c r="AP30" s="199">
        <f t="shared" si="3"/>
        <v>40.299999999996906</v>
      </c>
      <c r="AQ30" s="199">
        <f t="shared" si="3"/>
        <v>42.4666666666634</v>
      </c>
      <c r="AR30" s="199">
        <f t="shared" si="3"/>
        <v>179.8333333333195</v>
      </c>
      <c r="AS30" s="198">
        <f t="shared" si="3"/>
        <v>196.29999999998489</v>
      </c>
      <c r="AT30" s="199">
        <f t="shared" si="3"/>
        <v>116.5666666666577</v>
      </c>
      <c r="AU30" s="173">
        <f>SUM(AL30:AT30)</f>
        <v>1090.2666666665828</v>
      </c>
    </row>
    <row r="31" spans="1:47">
      <c r="A31" s="28"/>
      <c r="D31" s="127"/>
      <c r="F31" s="127"/>
      <c r="H31" s="143" t="s">
        <v>11</v>
      </c>
      <c r="I31" s="200" t="s">
        <v>12</v>
      </c>
      <c r="K31" s="144">
        <f t="shared" si="2"/>
        <v>0</v>
      </c>
      <c r="Q31" s="26" t="s">
        <v>441</v>
      </c>
      <c r="AG31" s="196" t="s">
        <v>418</v>
      </c>
      <c r="AH31" s="197" t="s">
        <v>13</v>
      </c>
      <c r="AI31" s="135"/>
      <c r="AJ31" s="168" t="s">
        <v>75</v>
      </c>
      <c r="AK31" s="155" t="s">
        <v>13</v>
      </c>
      <c r="AL31" s="198">
        <f t="shared" ref="AL31:AT31" si="4">AL18*4.333333333333</f>
        <v>364.43333333330526</v>
      </c>
      <c r="AM31" s="199">
        <f t="shared" si="4"/>
        <v>84.9333333333268</v>
      </c>
      <c r="AN31" s="199">
        <f t="shared" si="4"/>
        <v>31.199999999997601</v>
      </c>
      <c r="AO31" s="199">
        <f t="shared" si="4"/>
        <v>264.33333333331302</v>
      </c>
      <c r="AP31" s="199">
        <f t="shared" si="4"/>
        <v>65.866666666661601</v>
      </c>
      <c r="AQ31" s="199">
        <f t="shared" si="4"/>
        <v>108.76666666665831</v>
      </c>
      <c r="AR31" s="199">
        <f t="shared" si="4"/>
        <v>376.99999999997101</v>
      </c>
      <c r="AS31" s="198">
        <f t="shared" si="4"/>
        <v>422.06666666663421</v>
      </c>
      <c r="AT31" s="199">
        <f t="shared" si="4"/>
        <v>215.3666666666501</v>
      </c>
      <c r="AU31" s="173">
        <f t="shared" ref="AU31:AU36" si="5">SUM(AL31:AT31)</f>
        <v>1933.9666666665182</v>
      </c>
    </row>
    <row r="32" spans="1:47">
      <c r="A32" s="29" t="s">
        <v>229</v>
      </c>
      <c r="D32" s="388">
        <v>0</v>
      </c>
      <c r="F32" s="143" t="s">
        <v>8</v>
      </c>
      <c r="H32" s="389">
        <v>0</v>
      </c>
      <c r="I32" s="201">
        <v>0.03</v>
      </c>
      <c r="K32" s="144">
        <f t="shared" si="2"/>
        <v>0</v>
      </c>
      <c r="Q32" s="26" t="s">
        <v>442</v>
      </c>
      <c r="AG32" s="196" t="s">
        <v>68</v>
      </c>
      <c r="AH32" s="197" t="s">
        <v>69</v>
      </c>
      <c r="AI32" s="135"/>
      <c r="AJ32" s="168" t="s">
        <v>76</v>
      </c>
      <c r="AK32" s="155" t="s">
        <v>69</v>
      </c>
      <c r="AL32" s="198">
        <f t="shared" ref="AL32:AT32" si="6">AL19*4.333333333333</f>
        <v>369.19999999997162</v>
      </c>
      <c r="AM32" s="199">
        <f t="shared" si="6"/>
        <v>64.133333333328409</v>
      </c>
      <c r="AN32" s="199">
        <f t="shared" si="6"/>
        <v>5.6333333333329003</v>
      </c>
      <c r="AO32" s="199">
        <f t="shared" si="6"/>
        <v>175.4999999999865</v>
      </c>
      <c r="AP32" s="199">
        <f t="shared" si="6"/>
        <v>20.3666666666651</v>
      </c>
      <c r="AQ32" s="199">
        <f t="shared" si="6"/>
        <v>77.566666666660694</v>
      </c>
      <c r="AR32" s="199">
        <f t="shared" si="6"/>
        <v>166.39999999998719</v>
      </c>
      <c r="AS32" s="198">
        <f t="shared" si="6"/>
        <v>193.69999999998512</v>
      </c>
      <c r="AT32" s="199">
        <f t="shared" si="6"/>
        <v>154.2666666666548</v>
      </c>
      <c r="AU32" s="173">
        <f t="shared" si="5"/>
        <v>1226.7666666665723</v>
      </c>
    </row>
    <row r="33" spans="1:48">
      <c r="A33" s="29" t="s">
        <v>236</v>
      </c>
      <c r="D33" s="388">
        <v>0</v>
      </c>
      <c r="F33" s="143" t="s">
        <v>8</v>
      </c>
      <c r="H33" s="150"/>
      <c r="K33" s="144">
        <f t="shared" si="2"/>
        <v>0</v>
      </c>
      <c r="AG33" s="196" t="s">
        <v>419</v>
      </c>
      <c r="AH33" s="197" t="s">
        <v>78</v>
      </c>
      <c r="AI33" s="135"/>
      <c r="AJ33" s="168" t="s">
        <v>79</v>
      </c>
      <c r="AK33" s="155" t="s">
        <v>78</v>
      </c>
      <c r="AL33" s="198">
        <f t="shared" ref="AL33:AT33" si="7">AL20*4.333333333333</f>
        <v>274.29999999997887</v>
      </c>
      <c r="AM33" s="199">
        <f t="shared" si="7"/>
        <v>67.166666666661499</v>
      </c>
      <c r="AN33" s="199">
        <f t="shared" si="7"/>
        <v>18.1999999999986</v>
      </c>
      <c r="AO33" s="199">
        <f t="shared" si="7"/>
        <v>247.43333333331429</v>
      </c>
      <c r="AP33" s="199">
        <f t="shared" si="7"/>
        <v>30.7666666666643</v>
      </c>
      <c r="AQ33" s="199">
        <f t="shared" si="7"/>
        <v>109.19999999999159</v>
      </c>
      <c r="AR33" s="199">
        <f t="shared" si="7"/>
        <v>211.0333333333171</v>
      </c>
      <c r="AS33" s="198">
        <f t="shared" si="7"/>
        <v>175.93333333331981</v>
      </c>
      <c r="AT33" s="199">
        <f t="shared" si="7"/>
        <v>101.8333333333255</v>
      </c>
      <c r="AU33" s="173">
        <f t="shared" si="5"/>
        <v>1235.8666666665715</v>
      </c>
    </row>
    <row r="34" spans="1:48">
      <c r="A34" s="28"/>
      <c r="K34" s="16"/>
      <c r="L34" s="16"/>
      <c r="M34" s="16"/>
      <c r="N34" s="16"/>
      <c r="O34" s="16"/>
      <c r="P34" s="16"/>
      <c r="Q34" s="16"/>
      <c r="R34" s="16"/>
      <c r="S34" s="16"/>
      <c r="T34" s="16"/>
      <c r="U34" s="16"/>
      <c r="V34" s="16"/>
      <c r="AG34" s="196" t="s">
        <v>84</v>
      </c>
      <c r="AH34" s="197" t="s">
        <v>83</v>
      </c>
      <c r="AI34" s="135"/>
      <c r="AJ34" s="168" t="s">
        <v>82</v>
      </c>
      <c r="AK34" s="155" t="s">
        <v>83</v>
      </c>
      <c r="AL34" s="198">
        <f t="shared" ref="AL34:AT34" si="8">AL21*4.333333333333</f>
        <v>372.66666666663798</v>
      </c>
      <c r="AM34" s="199">
        <f t="shared" si="8"/>
        <v>92.299999999992906</v>
      </c>
      <c r="AN34" s="199">
        <f t="shared" si="8"/>
        <v>23.399999999998201</v>
      </c>
      <c r="AO34" s="199">
        <f t="shared" si="8"/>
        <v>302.03333333331011</v>
      </c>
      <c r="AP34" s="199">
        <f t="shared" si="8"/>
        <v>48.966666666662903</v>
      </c>
      <c r="AQ34" s="199">
        <f t="shared" si="8"/>
        <v>115.69999999999109</v>
      </c>
      <c r="AR34" s="199">
        <f t="shared" si="8"/>
        <v>294.66666666664401</v>
      </c>
      <c r="AS34" s="198">
        <f t="shared" si="8"/>
        <v>409.06666666663523</v>
      </c>
      <c r="AT34" s="199">
        <f t="shared" si="8"/>
        <v>231.39999999998219</v>
      </c>
      <c r="AU34" s="173">
        <f t="shared" si="5"/>
        <v>1890.1999999998545</v>
      </c>
    </row>
    <row r="35" spans="1:48">
      <c r="A35" s="16" t="s">
        <v>28</v>
      </c>
      <c r="H35" s="472" t="str">
        <f>AC35</f>
        <v>ONS HOUSEHOLD STATISTICS</v>
      </c>
      <c r="I35" s="472"/>
      <c r="K35" s="202"/>
      <c r="L35" s="202"/>
      <c r="M35" s="202"/>
      <c r="N35" s="202"/>
      <c r="O35" s="202"/>
      <c r="P35" s="202"/>
      <c r="Q35" s="202"/>
      <c r="R35" s="202"/>
      <c r="S35" s="202"/>
      <c r="T35" s="202"/>
      <c r="U35" s="202"/>
      <c r="V35" s="16"/>
      <c r="AC35" s="16" t="s">
        <v>100</v>
      </c>
      <c r="AD35" s="16"/>
      <c r="AE35" s="16"/>
      <c r="AG35" s="196" t="s">
        <v>88</v>
      </c>
      <c r="AH35" s="197" t="s">
        <v>86</v>
      </c>
      <c r="AI35" s="135"/>
      <c r="AJ35" s="168" t="s">
        <v>85</v>
      </c>
      <c r="AK35" s="155" t="s">
        <v>86</v>
      </c>
      <c r="AL35" s="198">
        <f t="shared" ref="AL35:AT35" si="9">AL22*4.333333333333</f>
        <v>386.53333333330363</v>
      </c>
      <c r="AM35" s="199">
        <f t="shared" si="9"/>
        <v>97.933333333325805</v>
      </c>
      <c r="AN35" s="199">
        <f t="shared" si="9"/>
        <v>25.999999999998</v>
      </c>
      <c r="AO35" s="199">
        <f t="shared" si="9"/>
        <v>363.99999999997198</v>
      </c>
      <c r="AP35" s="199">
        <f t="shared" si="9"/>
        <v>53.299999999995904</v>
      </c>
      <c r="AQ35" s="199">
        <f t="shared" si="9"/>
        <v>191.53333333331861</v>
      </c>
      <c r="AR35" s="199">
        <f t="shared" si="9"/>
        <v>454.99999999996498</v>
      </c>
      <c r="AS35" s="198">
        <f t="shared" si="9"/>
        <v>517.83333333329347</v>
      </c>
      <c r="AT35" s="199">
        <f t="shared" si="9"/>
        <v>204.53333333331761</v>
      </c>
      <c r="AU35" s="173">
        <f t="shared" si="5"/>
        <v>2296.6666666664896</v>
      </c>
    </row>
    <row r="36" spans="1:48">
      <c r="A36" s="29"/>
      <c r="H36" s="494" t="str">
        <f>AC36</f>
        <v>2 adults, no children</v>
      </c>
      <c r="I36" s="494"/>
      <c r="K36" s="144"/>
      <c r="AC36" s="202" t="str">
        <f>LOOKUP(AH15,AH30:AH38,AG30:AG38)</f>
        <v>2 adults, no children</v>
      </c>
      <c r="AD36" s="202"/>
      <c r="AE36" s="202"/>
      <c r="AG36" s="196" t="s">
        <v>420</v>
      </c>
      <c r="AH36" s="197" t="s">
        <v>90</v>
      </c>
      <c r="AI36" s="135"/>
      <c r="AJ36" s="168" t="s">
        <v>89</v>
      </c>
      <c r="AK36" s="155" t="s">
        <v>90</v>
      </c>
      <c r="AL36" s="198">
        <f t="shared" ref="AL36:AT36" si="10">AL23*4.333333333333</f>
        <v>435.9333333332998</v>
      </c>
      <c r="AM36" s="199">
        <f t="shared" si="10"/>
        <v>103.1333333333254</v>
      </c>
      <c r="AN36" s="199">
        <f t="shared" si="10"/>
        <v>29.0333333333311</v>
      </c>
      <c r="AO36" s="199">
        <f t="shared" si="10"/>
        <v>387.83333333330347</v>
      </c>
      <c r="AP36" s="199">
        <f t="shared" si="10"/>
        <v>58.066666666662201</v>
      </c>
      <c r="AQ36" s="199">
        <f t="shared" si="10"/>
        <v>152.53333333332162</v>
      </c>
      <c r="AR36" s="199">
        <f t="shared" si="10"/>
        <v>398.23333333330271</v>
      </c>
      <c r="AS36" s="198">
        <f t="shared" si="10"/>
        <v>408.63333333330189</v>
      </c>
      <c r="AT36" s="199">
        <f t="shared" si="10"/>
        <v>222.29999999998287</v>
      </c>
      <c r="AU36" s="173">
        <f t="shared" si="5"/>
        <v>2195.6999999998311</v>
      </c>
    </row>
    <row r="37" spans="1:48">
      <c r="A37" s="29" t="s">
        <v>495</v>
      </c>
      <c r="D37" s="194">
        <f>IF($D$25="Yes",AE37,IF($D$25="No",0))</f>
        <v>264.33333333331302</v>
      </c>
      <c r="F37" s="143" t="s">
        <v>8</v>
      </c>
      <c r="K37" s="144">
        <f>IF(F37=$K$2,D37*12,IF(F37=$K$3,D37*52,D37))</f>
        <v>3171.9999999997563</v>
      </c>
      <c r="L37" s="130" t="s">
        <v>496</v>
      </c>
      <c r="AC37" s="127" t="s">
        <v>87</v>
      </c>
      <c r="AD37" s="127"/>
      <c r="AE37" s="203">
        <f>VLOOKUP($AH$15,$AK$30:$AS$38,5)</f>
        <v>264.33333333331302</v>
      </c>
      <c r="AG37" s="196" t="s">
        <v>138</v>
      </c>
      <c r="AH37" s="197" t="s">
        <v>140</v>
      </c>
      <c r="AI37" s="135"/>
      <c r="AJ37" s="151" t="s">
        <v>138</v>
      </c>
      <c r="AK37" s="155" t="s">
        <v>140</v>
      </c>
      <c r="AL37" s="198">
        <f t="shared" ref="AL37:AT37" si="11">AL24*4.333333333333</f>
        <v>179.8333333333195</v>
      </c>
      <c r="AM37" s="199">
        <f t="shared" si="11"/>
        <v>41.166666666663502</v>
      </c>
      <c r="AN37" s="199">
        <f t="shared" si="11"/>
        <v>15.166666666665499</v>
      </c>
      <c r="AO37" s="199">
        <f t="shared" si="11"/>
        <v>146.0333333333221</v>
      </c>
      <c r="AP37" s="199">
        <f t="shared" si="11"/>
        <v>25.999999999998</v>
      </c>
      <c r="AQ37" s="199">
        <f t="shared" si="11"/>
        <v>31.633333333330899</v>
      </c>
      <c r="AR37" s="199">
        <f t="shared" si="11"/>
        <v>168.99999999998701</v>
      </c>
      <c r="AS37" s="198">
        <f t="shared" si="11"/>
        <v>100.96666666665891</v>
      </c>
      <c r="AT37" s="199">
        <f t="shared" si="11"/>
        <v>97.499999999992497</v>
      </c>
      <c r="AU37" s="173">
        <f>SUM(AL37:AT37)</f>
        <v>807.29999999993788</v>
      </c>
    </row>
    <row r="38" spans="1:48">
      <c r="A38" s="29" t="s">
        <v>494</v>
      </c>
      <c r="D38" s="194">
        <f>IF($D$25="Yes",AE38+AE39+AE40,IF($D$25="No",0))</f>
        <v>134.333333333323</v>
      </c>
      <c r="F38" s="143" t="s">
        <v>8</v>
      </c>
      <c r="K38" s="144">
        <f>IF(F38=$K$2,D38*12,IF(F38=$K$3,D38*52,D38))</f>
        <v>1611.9999999998759</v>
      </c>
      <c r="L38" s="130" t="s">
        <v>179</v>
      </c>
      <c r="AC38" s="28" t="s">
        <v>109</v>
      </c>
      <c r="AD38" s="127"/>
      <c r="AE38" s="204">
        <f>AN43</f>
        <v>41.166666666663502</v>
      </c>
      <c r="AG38" s="205" t="s">
        <v>421</v>
      </c>
      <c r="AH38" s="206" t="s">
        <v>141</v>
      </c>
      <c r="AI38" s="135"/>
      <c r="AJ38" s="151" t="s">
        <v>139</v>
      </c>
      <c r="AK38" s="155" t="s">
        <v>141</v>
      </c>
      <c r="AL38" s="198">
        <f t="shared" ref="AL38:AT38" si="12">AL25*4.333333333333</f>
        <v>230.96666666664888</v>
      </c>
      <c r="AM38" s="199">
        <f t="shared" si="12"/>
        <v>63.266666666661799</v>
      </c>
      <c r="AN38" s="199">
        <f t="shared" si="12"/>
        <v>51.133333333329404</v>
      </c>
      <c r="AO38" s="199">
        <f t="shared" si="12"/>
        <v>279.93333333331179</v>
      </c>
      <c r="AP38" s="199">
        <f t="shared" si="12"/>
        <v>60.666666666661996</v>
      </c>
      <c r="AQ38" s="199">
        <f t="shared" si="12"/>
        <v>82.333333333327005</v>
      </c>
      <c r="AR38" s="199">
        <f t="shared" si="12"/>
        <v>401.26666666663579</v>
      </c>
      <c r="AS38" s="198">
        <f t="shared" si="12"/>
        <v>288.5999999999778</v>
      </c>
      <c r="AT38" s="199">
        <f t="shared" si="12"/>
        <v>168.99999999998701</v>
      </c>
      <c r="AU38" s="173">
        <f>SUM(AL38:AT38)</f>
        <v>1627.1666666665415</v>
      </c>
    </row>
    <row r="39" spans="1:48">
      <c r="A39" s="28"/>
      <c r="D39" s="127"/>
      <c r="F39" s="127"/>
      <c r="K39" s="144">
        <f>IF(F39=$K$2,D39*12,IF(F39=$K$3,D39*52,D39))</f>
        <v>0</v>
      </c>
      <c r="X39" s="483" t="s">
        <v>165</v>
      </c>
      <c r="Y39" s="483"/>
      <c r="Z39" s="483"/>
      <c r="AA39" s="483"/>
      <c r="AC39" s="28" t="s">
        <v>110</v>
      </c>
      <c r="AD39" s="127"/>
      <c r="AE39" s="204">
        <f>AN45</f>
        <v>45.066666666663203</v>
      </c>
      <c r="AF39" s="26" t="s">
        <v>32</v>
      </c>
      <c r="AG39" s="135"/>
      <c r="AH39" s="135"/>
      <c r="AI39" s="135"/>
    </row>
    <row r="40" spans="1:48">
      <c r="A40" s="28"/>
      <c r="D40" s="127"/>
      <c r="F40" s="127"/>
      <c r="K40" s="144">
        <f>IF(F40=$K$2,D40*12,IF(F40=$K$3,D40*52,D40))</f>
        <v>0</v>
      </c>
      <c r="X40" s="28"/>
      <c r="Y40" s="28"/>
      <c r="Z40" s="370" t="s">
        <v>0</v>
      </c>
      <c r="AA40" s="370" t="s">
        <v>1</v>
      </c>
      <c r="AC40" s="28" t="s">
        <v>111</v>
      </c>
      <c r="AD40" s="127"/>
      <c r="AE40" s="204">
        <f>AN44</f>
        <v>48.099999999996299</v>
      </c>
    </row>
    <row r="41" spans="1:48">
      <c r="A41" s="29" t="s">
        <v>112</v>
      </c>
      <c r="D41" s="194">
        <f>IF($D$25="Yes",AE41,IF($D$25="No",0))</f>
        <v>3.4666666666664003</v>
      </c>
      <c r="F41" s="143" t="s">
        <v>8</v>
      </c>
      <c r="K41" s="144">
        <f>IF(F41=$K$2,D41*12,IF(F41=$K$3,D41*52,D41))</f>
        <v>41.599999999996804</v>
      </c>
      <c r="L41" s="130" t="s">
        <v>497</v>
      </c>
      <c r="X41" s="207" t="s">
        <v>167</v>
      </c>
      <c r="Y41" s="208"/>
      <c r="Z41" s="394">
        <v>0</v>
      </c>
      <c r="AA41" s="394">
        <v>0</v>
      </c>
      <c r="AC41" s="28" t="s">
        <v>112</v>
      </c>
      <c r="AD41" s="28" t="s">
        <v>32</v>
      </c>
      <c r="AE41" s="204">
        <f>AN46</f>
        <v>3.4666666666664003</v>
      </c>
      <c r="AJ41" s="146" t="s">
        <v>349</v>
      </c>
      <c r="AK41" s="209"/>
      <c r="AL41" s="209"/>
      <c r="AM41" s="209"/>
      <c r="AN41" s="209"/>
      <c r="AO41" s="209"/>
      <c r="AP41" s="209"/>
      <c r="AQ41" s="147"/>
      <c r="AR41" s="147"/>
      <c r="AS41" s="147"/>
      <c r="AT41" s="147"/>
      <c r="AU41" s="147"/>
      <c r="AV41" s="147"/>
    </row>
    <row r="42" spans="1:48">
      <c r="A42" s="29" t="s">
        <v>4</v>
      </c>
      <c r="D42" s="388">
        <v>0</v>
      </c>
      <c r="E42" s="127" t="s">
        <v>104</v>
      </c>
      <c r="F42" s="143" t="s">
        <v>8</v>
      </c>
      <c r="K42" s="144">
        <f>IF(F42=$K$2,D42*10,IF(F42=$K$3,D42*44,D42))</f>
        <v>0</v>
      </c>
      <c r="L42" s="130" t="s">
        <v>275</v>
      </c>
      <c r="S42" s="492" t="s">
        <v>512</v>
      </c>
      <c r="T42" s="493"/>
      <c r="W42" s="210"/>
      <c r="X42" s="207" t="s">
        <v>168</v>
      </c>
      <c r="Y42" s="208"/>
      <c r="Z42" s="394">
        <v>0</v>
      </c>
      <c r="AA42" s="394">
        <v>0</v>
      </c>
      <c r="AC42" s="207"/>
      <c r="AD42" s="127"/>
      <c r="AE42" s="211">
        <f>IF(F42=$K$1,D42/12,D42)</f>
        <v>0</v>
      </c>
      <c r="AJ42" s="160" t="s">
        <v>14</v>
      </c>
      <c r="AK42" s="26"/>
      <c r="AL42" s="26"/>
      <c r="AM42" s="160" t="s">
        <v>8</v>
      </c>
      <c r="AN42" s="26"/>
      <c r="AO42" s="26"/>
      <c r="AP42" s="26"/>
    </row>
    <row r="43" spans="1:48">
      <c r="A43" s="29" t="s">
        <v>29</v>
      </c>
      <c r="D43" s="388">
        <v>0</v>
      </c>
      <c r="F43" s="143" t="s">
        <v>8</v>
      </c>
      <c r="K43" s="144">
        <f>IF(F43=$K$2,D43*12,IF(F43=$K$3,D43*52,D43))</f>
        <v>0</v>
      </c>
      <c r="L43" s="130" t="s">
        <v>498</v>
      </c>
      <c r="M43" s="212"/>
      <c r="N43" s="213"/>
      <c r="O43" s="213"/>
      <c r="P43" s="182"/>
      <c r="W43" s="28"/>
      <c r="X43" s="207" t="s">
        <v>147</v>
      </c>
      <c r="Y43" s="208"/>
      <c r="Z43" s="394">
        <v>0</v>
      </c>
      <c r="AA43" s="394">
        <v>0</v>
      </c>
      <c r="AC43" s="126"/>
      <c r="AD43" s="127"/>
      <c r="AE43" s="214">
        <f>IF(F43=$K$1,D43/12,IF(F43=$K$2,D43,D43*4.3333))</f>
        <v>0</v>
      </c>
      <c r="AJ43" s="26" t="s">
        <v>109</v>
      </c>
      <c r="AK43" s="215">
        <v>9.5</v>
      </c>
      <c r="AL43" s="26"/>
      <c r="AM43" s="26" t="s">
        <v>109</v>
      </c>
      <c r="AN43" s="199">
        <f>AK43*4.333333333333</f>
        <v>41.166666666663502</v>
      </c>
      <c r="AO43" s="26"/>
      <c r="AP43" s="26"/>
    </row>
    <row r="44" spans="1:48">
      <c r="A44" s="29" t="s">
        <v>524</v>
      </c>
      <c r="D44" s="194">
        <f>IF($D$25="Yes",AE44,IF($D$25="No",0))</f>
        <v>84.9333333333268</v>
      </c>
      <c r="F44" s="143" t="s">
        <v>8</v>
      </c>
      <c r="J44" s="214"/>
      <c r="K44" s="144">
        <f>IF(F44=$K$2,D44*12,IF(F44=$K$3,D44*52,D44))</f>
        <v>1019.1999999999216</v>
      </c>
      <c r="L44" s="130" t="s">
        <v>499</v>
      </c>
      <c r="M44" s="31"/>
      <c r="N44" s="185" t="s">
        <v>436</v>
      </c>
      <c r="O44" s="185"/>
      <c r="P44" s="216"/>
      <c r="S44" s="30" t="s">
        <v>513</v>
      </c>
      <c r="T44" s="182"/>
      <c r="W44" s="28"/>
      <c r="X44" s="207" t="s">
        <v>148</v>
      </c>
      <c r="Y44" s="208"/>
      <c r="Z44" s="394">
        <v>0</v>
      </c>
      <c r="AA44" s="394">
        <v>0</v>
      </c>
      <c r="AC44" s="127" t="s">
        <v>80</v>
      </c>
      <c r="AD44" s="127"/>
      <c r="AE44" s="203">
        <f>VLOOKUP($AH$15,$AK$30:$AS$38,3)</f>
        <v>84.9333333333268</v>
      </c>
      <c r="AJ44" s="26" t="s">
        <v>111</v>
      </c>
      <c r="AK44" s="217">
        <v>11.1</v>
      </c>
      <c r="AL44" s="26"/>
      <c r="AM44" s="26" t="s">
        <v>111</v>
      </c>
      <c r="AN44" s="199">
        <f>AK44*4.333333333333</f>
        <v>48.099999999996299</v>
      </c>
      <c r="AO44" s="26"/>
      <c r="AP44" s="26"/>
    </row>
    <row r="45" spans="1:48">
      <c r="A45" s="29" t="s">
        <v>544</v>
      </c>
      <c r="B45" s="391" t="s">
        <v>136</v>
      </c>
      <c r="C45" s="218" t="s">
        <v>545</v>
      </c>
      <c r="D45" s="390">
        <f>T53</f>
        <v>185.4666666666524</v>
      </c>
      <c r="F45" s="143" t="s">
        <v>8</v>
      </c>
      <c r="K45" s="144">
        <f>IF(F45=$K$2,D45*12,IF(F45=$K$3,D45*52,D45))</f>
        <v>2225.5999999998289</v>
      </c>
      <c r="L45" s="130" t="s">
        <v>500</v>
      </c>
      <c r="M45" s="31"/>
      <c r="N45" s="185" t="s">
        <v>437</v>
      </c>
      <c r="O45" s="185"/>
      <c r="P45" s="216">
        <f>IF(Income!D13="Yes",1,IF(Income!D13="No",1,IF(Income!D13="N/a",0)))</f>
        <v>1</v>
      </c>
      <c r="S45" s="31" t="s">
        <v>162</v>
      </c>
      <c r="T45" s="219">
        <f>SUM(Z41:AB45)</f>
        <v>0</v>
      </c>
      <c r="X45" s="207" t="s">
        <v>163</v>
      </c>
      <c r="Y45" s="208"/>
      <c r="Z45" s="394">
        <v>0</v>
      </c>
      <c r="AA45" s="394">
        <v>0</v>
      </c>
      <c r="AE45" s="203">
        <f>IF(B45="No",0,AN57)</f>
        <v>185.4666666666524</v>
      </c>
      <c r="AJ45" s="26" t="s">
        <v>110</v>
      </c>
      <c r="AK45" s="217">
        <v>10.4</v>
      </c>
      <c r="AL45" s="26"/>
      <c r="AM45" s="26" t="s">
        <v>110</v>
      </c>
      <c r="AN45" s="199">
        <f>AK45*4.333333333333</f>
        <v>45.066666666663203</v>
      </c>
      <c r="AO45" s="26"/>
      <c r="AP45" s="26"/>
    </row>
    <row r="46" spans="1:48">
      <c r="A46" s="29" t="s">
        <v>30</v>
      </c>
      <c r="D46" s="194">
        <f>IF($D$25="Yes",AE46,IF($D$25="No",0))</f>
        <v>31.199999999997601</v>
      </c>
      <c r="F46" s="143" t="s">
        <v>8</v>
      </c>
      <c r="K46" s="144">
        <f>IF(F46=$K$2,D46*12,IF(F46=$K$3,D46*52,D46))</f>
        <v>374.39999999997121</v>
      </c>
      <c r="L46" s="130" t="s">
        <v>501</v>
      </c>
      <c r="M46" s="31"/>
      <c r="N46" s="185" t="s">
        <v>438</v>
      </c>
      <c r="O46" s="185"/>
      <c r="P46" s="216">
        <f>IF(Income!G13="Yes",1,IF(Income!G13="No",1,IF(Income!G13="N/a",0)))</f>
        <v>1</v>
      </c>
      <c r="S46" s="32" t="s">
        <v>164</v>
      </c>
      <c r="T46" s="220">
        <f>SUM(Z46:AA46)</f>
        <v>0</v>
      </c>
      <c r="X46" s="28" t="s">
        <v>157</v>
      </c>
      <c r="Y46" s="28"/>
      <c r="Z46" s="394">
        <v>0</v>
      </c>
      <c r="AA46" s="394">
        <v>0</v>
      </c>
      <c r="AC46" s="28" t="s">
        <v>61</v>
      </c>
      <c r="AD46" s="127"/>
      <c r="AE46" s="203">
        <f>VLOOKUP($AH$15,$AK$30:$AS$38,4)</f>
        <v>31.199999999997601</v>
      </c>
      <c r="AJ46" s="26" t="s">
        <v>112</v>
      </c>
      <c r="AK46" s="221">
        <v>0.8</v>
      </c>
      <c r="AL46" s="26"/>
      <c r="AM46" s="26" t="s">
        <v>112</v>
      </c>
      <c r="AN46" s="199">
        <f>AK46*4.333333333333</f>
        <v>3.4666666666664003</v>
      </c>
      <c r="AO46" s="26"/>
      <c r="AP46" s="26"/>
    </row>
    <row r="47" spans="1:48">
      <c r="A47" s="29" t="s">
        <v>164</v>
      </c>
      <c r="B47" s="391" t="s">
        <v>136</v>
      </c>
      <c r="C47" s="218" t="s">
        <v>545</v>
      </c>
      <c r="D47" s="390">
        <f>T54</f>
        <v>82.333333333327005</v>
      </c>
      <c r="F47" s="143" t="s">
        <v>8</v>
      </c>
      <c r="K47" s="144">
        <f t="shared" ref="K47:K48" si="13">IF(F47=$K$2,D47*12,IF(F47=$K$3,D47*52,D47))</f>
        <v>987.99999999992406</v>
      </c>
      <c r="L47" s="130" t="s">
        <v>164</v>
      </c>
      <c r="M47" s="31"/>
      <c r="N47" s="185" t="s">
        <v>439</v>
      </c>
      <c r="O47" s="185"/>
      <c r="P47" s="216">
        <f>SUM(P45:P46)</f>
        <v>2</v>
      </c>
      <c r="X47" s="16" t="s">
        <v>3</v>
      </c>
      <c r="Y47" s="28"/>
      <c r="Z47" s="222">
        <f>SUM(Z41:Z46)</f>
        <v>0</v>
      </c>
      <c r="AA47" s="222">
        <f>SUM(AA41:AA46)</f>
        <v>0</v>
      </c>
      <c r="AC47" s="28" t="s">
        <v>164</v>
      </c>
      <c r="AE47" s="203">
        <f>IF(B47="No",0,AN64)</f>
        <v>82.333333333327005</v>
      </c>
      <c r="AG47" s="223"/>
      <c r="AJ47" s="224" t="s">
        <v>3</v>
      </c>
      <c r="AK47" s="225">
        <f>SUM(AK42:AK46)</f>
        <v>31.8</v>
      </c>
      <c r="AL47" s="26"/>
      <c r="AM47" s="224" t="s">
        <v>3</v>
      </c>
      <c r="AN47" s="225">
        <f>SUM(AN42:AN46)</f>
        <v>137.79999999998941</v>
      </c>
      <c r="AO47" s="26"/>
      <c r="AP47" s="26"/>
    </row>
    <row r="48" spans="1:48">
      <c r="A48" s="29" t="s">
        <v>533</v>
      </c>
      <c r="D48" s="388">
        <v>0</v>
      </c>
      <c r="F48" s="143" t="s">
        <v>8</v>
      </c>
      <c r="K48" s="144">
        <f t="shared" si="13"/>
        <v>0</v>
      </c>
      <c r="L48" s="130" t="s">
        <v>502</v>
      </c>
      <c r="M48" s="31"/>
      <c r="N48" s="185" t="s">
        <v>440</v>
      </c>
      <c r="O48" s="185"/>
      <c r="P48" s="216">
        <f>D22</f>
        <v>2</v>
      </c>
      <c r="S48" s="30" t="s">
        <v>514</v>
      </c>
      <c r="T48" s="182"/>
      <c r="W48" s="28"/>
      <c r="AC48" s="138"/>
      <c r="AD48" s="28"/>
      <c r="AE48" s="214">
        <f>IF(F48=$K$1,D48/12,IF(F48=$K$2,D48,D48*4.3333))</f>
        <v>0</v>
      </c>
      <c r="AG48" s="223"/>
      <c r="AJ48" s="26" t="s">
        <v>32</v>
      </c>
      <c r="AK48" s="26"/>
      <c r="AL48" s="26"/>
      <c r="AM48" s="26"/>
      <c r="AN48" s="26"/>
      <c r="AO48" s="26"/>
      <c r="AP48" s="26"/>
    </row>
    <row r="49" spans="1:42">
      <c r="A49" s="28"/>
      <c r="K49" s="144"/>
      <c r="M49" s="32"/>
      <c r="N49" s="189"/>
      <c r="O49" s="189"/>
      <c r="P49" s="190"/>
      <c r="S49" s="33" t="s">
        <v>162</v>
      </c>
      <c r="T49" s="219">
        <f>IF(B45="Yes",AE45,IF(B45="No",0))</f>
        <v>185.4666666666524</v>
      </c>
      <c r="X49" s="127" t="s">
        <v>225</v>
      </c>
      <c r="AC49" s="138"/>
      <c r="AD49" s="28"/>
      <c r="AE49" s="127"/>
      <c r="AG49" s="223"/>
      <c r="AJ49" s="111" t="s">
        <v>152</v>
      </c>
      <c r="AK49" s="26"/>
      <c r="AL49" s="26"/>
      <c r="AM49" s="26"/>
      <c r="AN49" s="26"/>
      <c r="AO49" s="26"/>
      <c r="AP49" s="26"/>
    </row>
    <row r="50" spans="1:42">
      <c r="A50" s="28"/>
      <c r="D50" s="127"/>
      <c r="K50" s="144"/>
      <c r="S50" s="34" t="s">
        <v>164</v>
      </c>
      <c r="T50" s="220">
        <f>IF(B47="Yes",AE47,IF(B47="No",0))</f>
        <v>82.333333333327005</v>
      </c>
      <c r="X50" s="473" t="s">
        <v>149</v>
      </c>
      <c r="Y50" s="474"/>
      <c r="Z50" s="474"/>
      <c r="AA50" s="475"/>
      <c r="AC50" s="126"/>
      <c r="AD50" s="127"/>
      <c r="AE50" s="127"/>
      <c r="AJ50" s="160" t="s">
        <v>14</v>
      </c>
      <c r="AK50" s="26"/>
      <c r="AL50" s="26"/>
      <c r="AM50" s="160" t="s">
        <v>8</v>
      </c>
      <c r="AN50" s="26"/>
      <c r="AO50" s="26"/>
      <c r="AP50" s="26"/>
    </row>
    <row r="51" spans="1:42">
      <c r="A51" s="16" t="s">
        <v>31</v>
      </c>
      <c r="D51" s="127"/>
      <c r="K51" s="144"/>
      <c r="X51" s="458"/>
      <c r="Y51" s="459"/>
      <c r="Z51" s="459"/>
      <c r="AA51" s="460"/>
      <c r="AC51" s="226"/>
      <c r="AD51" s="28"/>
      <c r="AE51" s="127"/>
      <c r="AJ51" s="224" t="s">
        <v>153</v>
      </c>
      <c r="AK51" s="26"/>
      <c r="AL51" s="26"/>
      <c r="AM51" s="224" t="s">
        <v>153</v>
      </c>
      <c r="AN51" s="26"/>
      <c r="AO51" s="26"/>
      <c r="AP51" s="26"/>
    </row>
    <row r="52" spans="1:42">
      <c r="A52" s="16"/>
      <c r="B52" s="28" t="s">
        <v>32</v>
      </c>
      <c r="J52" s="28"/>
      <c r="K52" s="144"/>
      <c r="S52" s="30" t="s">
        <v>515</v>
      </c>
      <c r="T52" s="182"/>
      <c r="X52" s="461"/>
      <c r="Y52" s="462"/>
      <c r="Z52" s="462"/>
      <c r="AA52" s="463"/>
      <c r="AC52" s="150"/>
      <c r="AD52" s="28" t="s">
        <v>32</v>
      </c>
      <c r="AE52" s="127"/>
      <c r="AJ52" s="26" t="s">
        <v>167</v>
      </c>
      <c r="AK52" s="215">
        <v>10.3</v>
      </c>
      <c r="AL52" s="227"/>
      <c r="AM52" s="26" t="s">
        <v>167</v>
      </c>
      <c r="AN52" s="199">
        <f>AK52*4.333333333333</f>
        <v>44.633333333329901</v>
      </c>
      <c r="AO52" s="26"/>
      <c r="AP52" s="26"/>
    </row>
    <row r="53" spans="1:42">
      <c r="A53" s="29" t="s">
        <v>534</v>
      </c>
      <c r="D53" s="194">
        <f>IF($D$25="Yes",AE53,IF($D$25="No",0))</f>
        <v>376.99999999997101</v>
      </c>
      <c r="F53" s="143" t="s">
        <v>8</v>
      </c>
      <c r="K53" s="144">
        <f t="shared" ref="K53:K60" si="14">IF(F53=$K$2,D53*12,IF(F53=$K$3,D53*52,D53))</f>
        <v>4523.9999999996526</v>
      </c>
      <c r="L53" s="130" t="s">
        <v>503</v>
      </c>
      <c r="S53" s="33" t="s">
        <v>162</v>
      </c>
      <c r="T53" s="219">
        <f>IF(T45&gt;0,T45,T49)</f>
        <v>185.4666666666524</v>
      </c>
      <c r="X53" s="461"/>
      <c r="Y53" s="462"/>
      <c r="Z53" s="462"/>
      <c r="AA53" s="463"/>
      <c r="AC53" s="127" t="s">
        <v>64</v>
      </c>
      <c r="AD53" s="127"/>
      <c r="AE53" s="203">
        <f>VLOOKUP($AH$15,$AK$30:$AS$38,8)</f>
        <v>376.99999999997101</v>
      </c>
      <c r="AJ53" s="26" t="s">
        <v>166</v>
      </c>
      <c r="AK53" s="217">
        <v>2.6</v>
      </c>
      <c r="AL53" s="26"/>
      <c r="AM53" s="26" t="s">
        <v>166</v>
      </c>
      <c r="AN53" s="199">
        <f>AK53*4.333333333333</f>
        <v>11.266666666665801</v>
      </c>
      <c r="AO53" s="26"/>
      <c r="AP53" s="26"/>
    </row>
    <row r="54" spans="1:42">
      <c r="A54" s="29" t="s">
        <v>535</v>
      </c>
      <c r="D54" s="388">
        <v>0</v>
      </c>
      <c r="F54" s="143" t="s">
        <v>8</v>
      </c>
      <c r="K54" s="144">
        <f t="shared" si="14"/>
        <v>0</v>
      </c>
      <c r="L54" s="130" t="s">
        <v>504</v>
      </c>
      <c r="S54" s="34" t="s">
        <v>164</v>
      </c>
      <c r="T54" s="220">
        <f>IF(T46&gt;0,T46,T50)</f>
        <v>82.333333333327005</v>
      </c>
      <c r="W54" s="28"/>
      <c r="X54" s="461"/>
      <c r="Y54" s="462"/>
      <c r="Z54" s="462"/>
      <c r="AA54" s="463"/>
      <c r="AC54" s="150"/>
      <c r="AD54" s="127"/>
      <c r="AE54" s="214">
        <f>IF(F54=$K$1,D54/12,IF(F54=$K$2,D54,D54*4.3333))</f>
        <v>0</v>
      </c>
      <c r="AJ54" s="26" t="s">
        <v>154</v>
      </c>
      <c r="AK54" s="217">
        <v>20.399999999999999</v>
      </c>
      <c r="AL54" s="227"/>
      <c r="AM54" s="26" t="s">
        <v>154</v>
      </c>
      <c r="AN54" s="199">
        <f>AK54*4.333333333333</f>
        <v>88.399999999993199</v>
      </c>
      <c r="AO54" s="26"/>
      <c r="AP54" s="26"/>
    </row>
    <row r="55" spans="1:42">
      <c r="A55" s="28" t="s">
        <v>150</v>
      </c>
      <c r="B55" s="392" t="s">
        <v>137</v>
      </c>
      <c r="D55" s="194">
        <f>IF($B$55="Yes",AE55,IF($B$55="No",0))</f>
        <v>0</v>
      </c>
      <c r="F55" s="143" t="s">
        <v>8</v>
      </c>
      <c r="K55" s="144">
        <f t="shared" si="14"/>
        <v>0</v>
      </c>
      <c r="L55" s="130" t="s">
        <v>505</v>
      </c>
      <c r="X55" s="461"/>
      <c r="Y55" s="462"/>
      <c r="Z55" s="462"/>
      <c r="AA55" s="463"/>
      <c r="AC55" s="28" t="s">
        <v>151</v>
      </c>
      <c r="AD55" s="127"/>
      <c r="AE55" s="203">
        <f>IF(B55="no",0,VLOOKUP($AH$15,$AK$30:$AS$38,6))</f>
        <v>0</v>
      </c>
      <c r="AH55" s="26" t="s">
        <v>136</v>
      </c>
      <c r="AJ55" s="26" t="s">
        <v>155</v>
      </c>
      <c r="AK55" s="217">
        <v>6.5</v>
      </c>
      <c r="AL55" s="227"/>
      <c r="AM55" s="26" t="s">
        <v>155</v>
      </c>
      <c r="AN55" s="199">
        <f>AK55*4.333333333333</f>
        <v>28.166666666664501</v>
      </c>
      <c r="AO55" s="26"/>
      <c r="AP55" s="26"/>
    </row>
    <row r="56" spans="1:42">
      <c r="A56" s="29" t="s">
        <v>536</v>
      </c>
      <c r="D56" s="388">
        <v>0</v>
      </c>
      <c r="F56" s="143" t="s">
        <v>8</v>
      </c>
      <c r="K56" s="144">
        <f t="shared" si="14"/>
        <v>0</v>
      </c>
      <c r="L56" s="130" t="s">
        <v>506</v>
      </c>
      <c r="W56" s="28"/>
      <c r="X56" s="461"/>
      <c r="Y56" s="462"/>
      <c r="Z56" s="462"/>
      <c r="AA56" s="463"/>
      <c r="AC56" s="150"/>
      <c r="AD56" s="127"/>
      <c r="AE56" s="214">
        <f>IF(F56=$K$1,D56/12,IF(F56=$K$2,D56,D56*4.3333))</f>
        <v>0</v>
      </c>
      <c r="AH56" s="26" t="s">
        <v>137</v>
      </c>
      <c r="AJ56" s="26" t="s">
        <v>156</v>
      </c>
      <c r="AK56" s="221">
        <v>3</v>
      </c>
      <c r="AL56" s="227"/>
      <c r="AM56" s="26" t="s">
        <v>156</v>
      </c>
      <c r="AN56" s="199">
        <f>AK56*4.333333333333</f>
        <v>12.999999999999</v>
      </c>
      <c r="AO56" s="26"/>
      <c r="AP56" s="26"/>
    </row>
    <row r="57" spans="1:42">
      <c r="A57" s="29" t="s">
        <v>537</v>
      </c>
      <c r="D57" s="388">
        <v>0</v>
      </c>
      <c r="F57" s="143" t="s">
        <v>8</v>
      </c>
      <c r="K57" s="144">
        <f t="shared" si="14"/>
        <v>0</v>
      </c>
      <c r="L57" s="130" t="s">
        <v>507</v>
      </c>
      <c r="W57" s="28"/>
      <c r="X57" s="461"/>
      <c r="Y57" s="462"/>
      <c r="Z57" s="462"/>
      <c r="AA57" s="463"/>
      <c r="AC57" s="150"/>
      <c r="AD57" s="127"/>
      <c r="AE57" s="214">
        <f>IF(F57=$K$1,D57/12,IF(F57=$K$2,D57,D57*4.3333))</f>
        <v>0</v>
      </c>
      <c r="AJ57" s="224" t="s">
        <v>3</v>
      </c>
      <c r="AK57" s="225">
        <f>SUM(AK52:AK56)</f>
        <v>42.8</v>
      </c>
      <c r="AL57" s="26"/>
      <c r="AM57" s="224" t="s">
        <v>3</v>
      </c>
      <c r="AN57" s="225">
        <f>SUM(AN52:AN56)</f>
        <v>185.4666666666524</v>
      </c>
      <c r="AO57" s="26"/>
      <c r="AP57" s="26"/>
    </row>
    <row r="58" spans="1:42">
      <c r="A58" s="29" t="s">
        <v>538</v>
      </c>
      <c r="D58" s="194">
        <f>IF($D$25="Yes",AE58,IF($D$25="No",0))</f>
        <v>108.76666666665831</v>
      </c>
      <c r="F58" s="143" t="s">
        <v>8</v>
      </c>
      <c r="K58" s="144">
        <f t="shared" si="14"/>
        <v>1305.1999999998998</v>
      </c>
      <c r="L58" s="130" t="s">
        <v>33</v>
      </c>
      <c r="X58" s="461"/>
      <c r="Y58" s="462"/>
      <c r="Z58" s="462"/>
      <c r="AA58" s="463"/>
      <c r="AC58" s="127" t="s">
        <v>33</v>
      </c>
      <c r="AD58" s="127"/>
      <c r="AE58" s="203">
        <f>VLOOKUP($AH$15,$AK$30:$AS$38,7)</f>
        <v>108.76666666665831</v>
      </c>
      <c r="AJ58" s="26"/>
      <c r="AK58" s="26"/>
      <c r="AL58" s="26"/>
      <c r="AM58" s="26"/>
      <c r="AN58" s="26"/>
      <c r="AO58" s="26"/>
      <c r="AP58" s="26"/>
    </row>
    <row r="59" spans="1:42">
      <c r="A59" s="29" t="s">
        <v>539</v>
      </c>
      <c r="D59" s="194">
        <f>IF($D$25="Yes",AE59,IF($D$25="No",0))</f>
        <v>215.3666666666501</v>
      </c>
      <c r="F59" s="143" t="s">
        <v>8</v>
      </c>
      <c r="K59" s="144">
        <f t="shared" si="14"/>
        <v>2584.3999999998014</v>
      </c>
      <c r="L59" s="130" t="s">
        <v>508</v>
      </c>
      <c r="X59" s="461"/>
      <c r="Y59" s="462"/>
      <c r="Z59" s="462"/>
      <c r="AA59" s="463"/>
      <c r="AC59" s="28" t="s">
        <v>120</v>
      </c>
      <c r="AD59" s="127"/>
      <c r="AE59" s="203">
        <f>VLOOKUP($AH$15,$AK$30:$AT$38,10)</f>
        <v>215.3666666666501</v>
      </c>
      <c r="AJ59" s="224" t="s">
        <v>157</v>
      </c>
      <c r="AK59" s="26"/>
      <c r="AL59" s="26"/>
      <c r="AM59" s="224" t="s">
        <v>157</v>
      </c>
      <c r="AN59" s="26"/>
      <c r="AO59" s="26"/>
      <c r="AP59" s="26"/>
    </row>
    <row r="60" spans="1:42">
      <c r="A60" s="29" t="s">
        <v>540</v>
      </c>
      <c r="D60" s="388">
        <v>0</v>
      </c>
      <c r="F60" s="143" t="s">
        <v>8</v>
      </c>
      <c r="K60" s="144">
        <f t="shared" si="14"/>
        <v>0</v>
      </c>
      <c r="L60" s="130" t="s">
        <v>502</v>
      </c>
      <c r="W60" s="28"/>
      <c r="X60" s="461"/>
      <c r="Y60" s="462"/>
      <c r="Z60" s="462"/>
      <c r="AA60" s="463"/>
      <c r="AC60" s="126"/>
      <c r="AD60" s="127"/>
      <c r="AE60" s="214">
        <f>IF(F60=$K$1,D60/12,IF(F60=$K$2,D60,D60*4.3333))</f>
        <v>0</v>
      </c>
      <c r="AJ60" s="26" t="s">
        <v>158</v>
      </c>
      <c r="AK60" s="228">
        <v>4.4000000000000004</v>
      </c>
      <c r="AL60" s="26"/>
      <c r="AM60" s="26" t="s">
        <v>158</v>
      </c>
      <c r="AN60" s="199">
        <f>AK60*4.333333333333</f>
        <v>19.066666666665203</v>
      </c>
      <c r="AO60" s="26"/>
      <c r="AP60" s="26"/>
    </row>
    <row r="61" spans="1:42">
      <c r="A61" s="28"/>
      <c r="K61" s="144"/>
      <c r="X61" s="461"/>
      <c r="Y61" s="462"/>
      <c r="Z61" s="462"/>
      <c r="AA61" s="463"/>
      <c r="AC61" s="150"/>
      <c r="AD61" s="127"/>
      <c r="AE61" s="127"/>
      <c r="AJ61" s="26" t="s">
        <v>159</v>
      </c>
      <c r="AK61" s="229">
        <v>1.4</v>
      </c>
      <c r="AL61" s="26"/>
      <c r="AM61" s="26" t="s">
        <v>159</v>
      </c>
      <c r="AN61" s="199">
        <f>AK61*4.333333333333</f>
        <v>6.0666666666661992</v>
      </c>
      <c r="AO61" s="26" t="s">
        <v>32</v>
      </c>
      <c r="AP61" s="26"/>
    </row>
    <row r="62" spans="1:42">
      <c r="A62" s="16" t="s">
        <v>98</v>
      </c>
      <c r="D62" s="230">
        <f>SUM(D43:D61)+SUM(D37:D41)+(D42/12*10)</f>
        <v>1487.1999999998857</v>
      </c>
      <c r="E62" s="127" t="s">
        <v>104</v>
      </c>
      <c r="F62" s="127"/>
      <c r="K62" s="144"/>
      <c r="X62" s="461"/>
      <c r="Y62" s="462"/>
      <c r="Z62" s="462"/>
      <c r="AA62" s="463"/>
      <c r="AC62" s="16" t="s">
        <v>97</v>
      </c>
      <c r="AD62" s="127"/>
      <c r="AE62" s="230">
        <f>SUM(AE43:AE61)+SUM(AE37:AE41)+(AE42/12*10)</f>
        <v>1487.1999999998857</v>
      </c>
      <c r="AJ62" s="26" t="s">
        <v>160</v>
      </c>
      <c r="AK62" s="229">
        <v>0.9</v>
      </c>
      <c r="AL62" s="26"/>
      <c r="AM62" s="26" t="s">
        <v>160</v>
      </c>
      <c r="AN62" s="199">
        <f>AK62*4.333333333333</f>
        <v>3.8999999999997002</v>
      </c>
      <c r="AO62" s="26"/>
      <c r="AP62" s="26"/>
    </row>
    <row r="63" spans="1:42" ht="14.4">
      <c r="A63" s="28"/>
      <c r="D63" s="127"/>
      <c r="F63" s="231" t="s">
        <v>95</v>
      </c>
      <c r="K63" s="144" t="s">
        <v>520</v>
      </c>
      <c r="M63" s="25" t="s">
        <v>460</v>
      </c>
      <c r="X63" s="464"/>
      <c r="Y63" s="465"/>
      <c r="Z63" s="465"/>
      <c r="AA63" s="466"/>
      <c r="AC63" s="16"/>
      <c r="AD63" s="127"/>
      <c r="AE63" s="232"/>
      <c r="AJ63" s="26" t="s">
        <v>161</v>
      </c>
      <c r="AK63" s="233">
        <v>12.3</v>
      </c>
      <c r="AL63" s="26"/>
      <c r="AM63" s="26" t="s">
        <v>161</v>
      </c>
      <c r="AN63" s="199">
        <f>AK63*4.333333333333</f>
        <v>53.299999999995904</v>
      </c>
      <c r="AO63" s="26"/>
      <c r="AP63" s="26"/>
    </row>
    <row r="64" spans="1:42">
      <c r="A64" s="16" t="s">
        <v>99</v>
      </c>
      <c r="D64" s="230">
        <f>D62*12</f>
        <v>17846.399999998626</v>
      </c>
      <c r="E64" s="127" t="s">
        <v>104</v>
      </c>
      <c r="F64" s="234">
        <f>IF(D64=0,0,(D64-AE64)/AE64)</f>
        <v>0</v>
      </c>
      <c r="J64" s="16"/>
      <c r="K64" s="144" t="s">
        <v>521</v>
      </c>
      <c r="L64" s="224"/>
      <c r="M64" s="25" t="s">
        <v>196</v>
      </c>
      <c r="N64" s="224"/>
      <c r="O64" s="224"/>
      <c r="P64" s="224"/>
      <c r="Q64" s="224"/>
      <c r="R64" s="224"/>
      <c r="S64" s="224"/>
      <c r="T64" s="224"/>
      <c r="U64" s="224"/>
      <c r="X64" s="377"/>
      <c r="Y64" s="377"/>
      <c r="Z64" s="377"/>
      <c r="AA64" s="377"/>
      <c r="AC64" s="235" t="s">
        <v>94</v>
      </c>
      <c r="AD64" s="16"/>
      <c r="AE64" s="230">
        <f>AE62*12</f>
        <v>17846.399999998626</v>
      </c>
      <c r="AJ64" s="224" t="s">
        <v>3</v>
      </c>
      <c r="AK64" s="225">
        <f>SUM(AK60:AK63)</f>
        <v>19</v>
      </c>
      <c r="AL64" s="26"/>
      <c r="AM64" s="224" t="s">
        <v>3</v>
      </c>
      <c r="AN64" s="225">
        <f>SUM(AN60:AN63)</f>
        <v>82.333333333327005</v>
      </c>
      <c r="AO64" s="26" t="s">
        <v>32</v>
      </c>
      <c r="AP64" s="26"/>
    </row>
    <row r="65" spans="1:40">
      <c r="A65" s="236" t="s">
        <v>105</v>
      </c>
      <c r="D65" s="230"/>
      <c r="F65" s="237"/>
      <c r="H65" s="235"/>
      <c r="I65" s="16"/>
      <c r="J65" s="16"/>
      <c r="K65" s="144" t="s">
        <v>522</v>
      </c>
      <c r="L65" s="224"/>
      <c r="M65" s="224"/>
      <c r="N65" s="224"/>
      <c r="O65" s="224"/>
      <c r="P65" s="224"/>
      <c r="Q65" s="224"/>
      <c r="R65" s="224"/>
      <c r="S65" s="224"/>
      <c r="T65" s="224"/>
      <c r="U65" s="224"/>
      <c r="V65" s="230"/>
      <c r="X65" s="377"/>
    </row>
    <row r="66" spans="1:40">
      <c r="A66" s="28"/>
      <c r="K66" s="144"/>
      <c r="AB66" s="497" t="s">
        <v>490</v>
      </c>
      <c r="AC66" s="498"/>
      <c r="AD66" s="499"/>
      <c r="AL66" s="238"/>
    </row>
    <row r="67" spans="1:40" ht="12.75" customHeight="1">
      <c r="A67" s="16" t="s">
        <v>459</v>
      </c>
      <c r="C67" s="393" t="s">
        <v>520</v>
      </c>
      <c r="D67" s="239" t="s">
        <v>518</v>
      </c>
      <c r="H67" s="240"/>
      <c r="I67" s="241"/>
      <c r="J67" s="241"/>
      <c r="K67" s="144"/>
      <c r="AB67" s="505" t="s">
        <v>523</v>
      </c>
      <c r="AC67" s="506"/>
      <c r="AD67" s="507"/>
      <c r="AK67" s="378" t="s">
        <v>585</v>
      </c>
      <c r="AL67" s="379"/>
      <c r="AM67" s="379"/>
      <c r="AN67" s="380"/>
    </row>
    <row r="68" spans="1:40" ht="12.75" customHeight="1">
      <c r="A68" s="28"/>
      <c r="H68" s="241"/>
      <c r="I68" s="241"/>
      <c r="J68" s="241"/>
      <c r="K68" s="144"/>
      <c r="V68" s="469" t="s">
        <v>562</v>
      </c>
      <c r="W68" s="470"/>
      <c r="X68" s="470"/>
      <c r="Y68" s="471"/>
      <c r="AB68" s="508"/>
      <c r="AC68" s="468" t="s">
        <v>509</v>
      </c>
      <c r="AD68" s="468" t="s">
        <v>510</v>
      </c>
      <c r="AJ68" s="370" t="s">
        <v>469</v>
      </c>
      <c r="AK68" s="185" t="s">
        <v>561</v>
      </c>
      <c r="AL68" s="185"/>
      <c r="AM68" s="242" t="s">
        <v>492</v>
      </c>
    </row>
    <row r="69" spans="1:40">
      <c r="A69" s="16" t="s">
        <v>543</v>
      </c>
      <c r="B69" s="16"/>
      <c r="C69" s="243"/>
      <c r="D69" s="16"/>
      <c r="E69" s="235"/>
      <c r="F69" s="235"/>
      <c r="G69" s="235"/>
      <c r="I69" s="244"/>
      <c r="J69" s="244"/>
      <c r="K69" s="245"/>
      <c r="M69" s="495" t="s">
        <v>123</v>
      </c>
      <c r="N69" s="495"/>
      <c r="O69" s="495"/>
      <c r="P69" s="495"/>
      <c r="Q69" s="246" t="s">
        <v>126</v>
      </c>
      <c r="R69" s="496" t="s">
        <v>470</v>
      </c>
      <c r="S69" s="496"/>
      <c r="T69" s="368" t="s">
        <v>489</v>
      </c>
      <c r="U69" s="246"/>
      <c r="V69" s="29"/>
      <c r="AB69" s="509"/>
      <c r="AC69" s="468"/>
      <c r="AD69" s="468"/>
      <c r="AJ69" s="365">
        <v>7.9399999999999998E-2</v>
      </c>
      <c r="AK69" s="358">
        <f>SUM(AJ69)*100</f>
        <v>7.9399999999999995</v>
      </c>
      <c r="AL69" s="185"/>
      <c r="AM69" s="247">
        <f>AJ69</f>
        <v>7.9399999999999998E-2</v>
      </c>
    </row>
    <row r="70" spans="1:40" ht="27" customHeight="1">
      <c r="A70" s="248" t="s">
        <v>121</v>
      </c>
      <c r="B70" s="248" t="s">
        <v>47</v>
      </c>
      <c r="C70" s="249" t="s">
        <v>556</v>
      </c>
      <c r="D70" s="249" t="s">
        <v>557</v>
      </c>
      <c r="E70" s="248" t="s">
        <v>483</v>
      </c>
      <c r="F70" s="250" t="s">
        <v>558</v>
      </c>
      <c r="G70" s="250" t="s">
        <v>125</v>
      </c>
      <c r="H70" s="250" t="s">
        <v>559</v>
      </c>
      <c r="I70" s="250" t="s">
        <v>127</v>
      </c>
      <c r="K70" s="251" t="s">
        <v>169</v>
      </c>
      <c r="L70" s="252" t="s">
        <v>16</v>
      </c>
      <c r="M70" s="253" t="s">
        <v>461</v>
      </c>
      <c r="N70" s="253" t="s">
        <v>462</v>
      </c>
      <c r="O70" s="254" t="s">
        <v>463</v>
      </c>
      <c r="P70" s="253" t="s">
        <v>464</v>
      </c>
      <c r="Q70" s="253" t="s">
        <v>461</v>
      </c>
      <c r="R70" s="255" t="s">
        <v>471</v>
      </c>
      <c r="S70" s="255" t="s">
        <v>472</v>
      </c>
      <c r="T70" s="185"/>
      <c r="U70" s="252" t="s">
        <v>128</v>
      </c>
      <c r="V70" s="359" t="s">
        <v>121</v>
      </c>
      <c r="X70" s="359" t="s">
        <v>126</v>
      </c>
      <c r="Y70" s="359" t="s">
        <v>560</v>
      </c>
      <c r="AB70" s="256" t="s">
        <v>511</v>
      </c>
      <c r="AC70" s="381"/>
      <c r="AD70" s="381"/>
      <c r="AF70" s="257" t="s">
        <v>465</v>
      </c>
      <c r="AG70" s="257" t="s">
        <v>466</v>
      </c>
      <c r="AH70" s="257" t="s">
        <v>467</v>
      </c>
      <c r="AI70" s="257" t="s">
        <v>468</v>
      </c>
      <c r="AJ70" s="258" t="s">
        <v>462</v>
      </c>
      <c r="AM70" s="259" t="str">
        <f>"SVR Reversion CMS @ "&amp; (AK69)&amp;"%"</f>
        <v>SVR Reversion CMS @ 7.94%</v>
      </c>
    </row>
    <row r="71" spans="1:40" ht="14.4" customHeight="1">
      <c r="A71" s="260" t="s">
        <v>541</v>
      </c>
      <c r="B71" s="395"/>
      <c r="C71" s="393"/>
      <c r="D71" s="393"/>
      <c r="E71" s="396"/>
      <c r="F71" s="397"/>
      <c r="G71" s="393"/>
      <c r="H71" s="261" t="s">
        <v>460</v>
      </c>
      <c r="I71" s="262">
        <f t="shared" ref="I71:I78" si="15">IF(H71=$AE$72,AF71,IF(H71=$AE$71,AG71,IF(H71="",0)))</f>
        <v>0</v>
      </c>
      <c r="K71" s="245">
        <f t="shared" ref="K71:K78" si="16">B71</f>
        <v>0</v>
      </c>
      <c r="L71" s="263">
        <f t="shared" ref="L71:L78" si="17">C71+(D71/12)</f>
        <v>0</v>
      </c>
      <c r="M71" s="264" t="e">
        <f t="shared" ref="M71:M78" si="18">PMT(E71/12,(L71)*12,-B71)</f>
        <v>#NUM!</v>
      </c>
      <c r="N71" s="265">
        <f t="shared" ref="N71:N78" si="19">IF(G71="",0,IF(G71="SVR",0,IF(G71="Term Discount",0,IF(H71="Interest-only",(O71*$AJ$69)/12,IF(H71="Repayment",PMT($AJ$69/12,(L71-G71)*12,-O71))))))</f>
        <v>0</v>
      </c>
      <c r="O71" s="266" t="e">
        <f t="shared" ref="O71:O78" si="20">IF((B71*(1+(E71/12))^(G71*12)-(I71*((((1+(E71/12))^(G71*12))-1)/(E71/12))))&lt;0,0,(B71*(1+(E71/12))^(G71*12)-(I71*((((1+(E71/12))^(G71*12))-1)/(E71/12)))))</f>
        <v>#DIV/0!</v>
      </c>
      <c r="P71" s="264" t="e">
        <f t="shared" ref="P71:P78" si="21">PMT(X71/12,(L71)*12,-B71)</f>
        <v>#VALUE!</v>
      </c>
      <c r="Q71" s="267" t="e">
        <f t="shared" ref="Q71:Q78" si="22">PMT(X71/12,(L71)*12,-B71)</f>
        <v>#VALUE!</v>
      </c>
      <c r="R71" s="266" t="e">
        <f t="shared" ref="R71:R78" si="23">IF((B71*(1+(E71/12))^($AC$70*12)-(I71*((((1+(E71/12))^($AC$70*12))-1)/(E71/12))))&lt;0,0,(B71*(1+(E71/12))^($AC$70*12)-(I71*((((1+(E71/12))^($AC$70*12))-1)/(E71/12)))))</f>
        <v>#DIV/0!</v>
      </c>
      <c r="S71" s="266" t="e">
        <f t="shared" ref="S71:S78" si="24">IF((B71*(1+(E71/12))^($AD$70*12)-(I71*((((1+(E71/12))^($AD$70*12))-1)/(E71/12))))&lt;0,0,(B71*(1+(E71/12))^($AD$70*12)-(I71*((((1+(E71/12))^($AD$70*12))-1)/(E71/12)))))</f>
        <v>#DIV/0!</v>
      </c>
      <c r="T71" s="266">
        <f>IF(H71="Repayment",0,IF(H71="Interest-only",B71))</f>
        <v>0</v>
      </c>
      <c r="U71" s="135" t="str">
        <f t="shared" ref="U71:U78" si="25">IF(F71&lt;&gt;"Fixed","No",IF(G71&lt;&gt;5,"No","Yes"))</f>
        <v>No</v>
      </c>
      <c r="V71" s="360" t="s">
        <v>541</v>
      </c>
      <c r="X71" s="362" t="str">
        <f t="shared" ref="X71:X78" si="26">IF(E71=0,"",IF(E71="","",IF(U71="Yes",E71,IF(E71+2%&gt;5.5%,E71+2%,5.5%))))</f>
        <v/>
      </c>
      <c r="Y71" s="363">
        <f t="shared" ref="Y71:Y78" si="27">IF(H71=$AE$72,AI71,IF(H71=$AE$71,AH71,IF(H71="",0)))</f>
        <v>0</v>
      </c>
      <c r="AB71" s="268" t="s">
        <v>473</v>
      </c>
      <c r="AC71" s="269" t="str">
        <f t="shared" ref="AC71:AC78" si="28">IF(B71=0,"Not applicable",R71)</f>
        <v>Not applicable</v>
      </c>
      <c r="AD71" s="269" t="str">
        <f t="shared" ref="AD71:AD78" si="29">IF(B71=0,"Not applicable",S71)</f>
        <v>Not applicable</v>
      </c>
      <c r="AE71" s="26" t="s">
        <v>460</v>
      </c>
      <c r="AF71" s="270">
        <f t="shared" ref="AF71:AF78" si="30">IF(B71=0,0,IF(B71="",0,($B71*$E71)/12))</f>
        <v>0</v>
      </c>
      <c r="AG71" s="270">
        <f t="shared" ref="AG71:AG78" si="31">IF(B71="",0,IF(B71=0,0,M71))</f>
        <v>0</v>
      </c>
      <c r="AH71" s="270">
        <f t="shared" ref="AH71:AH78" si="32">IF(B71="",0,IF(B71=0,0,Q71))</f>
        <v>0</v>
      </c>
      <c r="AI71" s="270">
        <f t="shared" ref="AI71:AI78" si="33">IF(B71="",0,IF(B71="",0,($B71*$X71)/12))</f>
        <v>0</v>
      </c>
      <c r="AJ71" s="270">
        <f t="shared" ref="AJ71:AJ78" si="34">IF(I71=0,0,IF(G71="BTL SVR","Not applicable",IF(G71="Term Discount","Not applicable",N71)))</f>
        <v>0</v>
      </c>
      <c r="AM71" s="271">
        <f t="shared" ref="AM71:AM78" si="35">AJ71</f>
        <v>0</v>
      </c>
    </row>
    <row r="72" spans="1:40">
      <c r="A72" s="260" t="s">
        <v>542</v>
      </c>
      <c r="B72" s="395"/>
      <c r="C72" s="393"/>
      <c r="D72" s="393"/>
      <c r="E72" s="396"/>
      <c r="F72" s="397"/>
      <c r="G72" s="393"/>
      <c r="H72" s="272" t="s">
        <v>196</v>
      </c>
      <c r="I72" s="262">
        <f t="shared" si="15"/>
        <v>0</v>
      </c>
      <c r="K72" s="245">
        <f t="shared" si="16"/>
        <v>0</v>
      </c>
      <c r="L72" s="263">
        <f t="shared" si="17"/>
        <v>0</v>
      </c>
      <c r="M72" s="264" t="e">
        <f t="shared" si="18"/>
        <v>#NUM!</v>
      </c>
      <c r="N72" s="265">
        <f t="shared" si="19"/>
        <v>0</v>
      </c>
      <c r="O72" s="266" t="e">
        <f t="shared" si="20"/>
        <v>#DIV/0!</v>
      </c>
      <c r="P72" s="264" t="e">
        <f t="shared" si="21"/>
        <v>#VALUE!</v>
      </c>
      <c r="Q72" s="267" t="e">
        <f t="shared" si="22"/>
        <v>#VALUE!</v>
      </c>
      <c r="R72" s="266" t="e">
        <f t="shared" si="23"/>
        <v>#DIV/0!</v>
      </c>
      <c r="S72" s="266" t="e">
        <f t="shared" si="24"/>
        <v>#DIV/0!</v>
      </c>
      <c r="T72" s="266">
        <f t="shared" ref="T72:T78" si="36">IF(H72="Repayment",0,IF(H72="Interest-only",B72))</f>
        <v>0</v>
      </c>
      <c r="U72" s="135" t="str">
        <f t="shared" si="25"/>
        <v>No</v>
      </c>
      <c r="V72" s="360" t="s">
        <v>542</v>
      </c>
      <c r="X72" s="362" t="str">
        <f t="shared" si="26"/>
        <v/>
      </c>
      <c r="Y72" s="363">
        <f t="shared" si="27"/>
        <v>0</v>
      </c>
      <c r="AB72" s="273" t="s">
        <v>474</v>
      </c>
      <c r="AC72" s="269" t="str">
        <f t="shared" si="28"/>
        <v>Not applicable</v>
      </c>
      <c r="AD72" s="269" t="str">
        <f t="shared" si="29"/>
        <v>Not applicable</v>
      </c>
      <c r="AE72" s="26" t="s">
        <v>196</v>
      </c>
      <c r="AF72" s="270">
        <f t="shared" si="30"/>
        <v>0</v>
      </c>
      <c r="AG72" s="270">
        <f t="shared" si="31"/>
        <v>0</v>
      </c>
      <c r="AH72" s="270">
        <f t="shared" si="32"/>
        <v>0</v>
      </c>
      <c r="AI72" s="270">
        <f t="shared" si="33"/>
        <v>0</v>
      </c>
      <c r="AJ72" s="270">
        <f t="shared" si="34"/>
        <v>0</v>
      </c>
      <c r="AM72" s="271">
        <f t="shared" si="35"/>
        <v>0</v>
      </c>
    </row>
    <row r="73" spans="1:40" hidden="1">
      <c r="A73" s="260" t="s">
        <v>474</v>
      </c>
      <c r="B73" s="395"/>
      <c r="C73" s="393"/>
      <c r="D73" s="393"/>
      <c r="E73" s="396"/>
      <c r="F73" s="397"/>
      <c r="G73" s="393"/>
      <c r="H73" s="398"/>
      <c r="I73" s="262">
        <f t="shared" si="15"/>
        <v>0</v>
      </c>
      <c r="K73" s="245">
        <f t="shared" si="16"/>
        <v>0</v>
      </c>
      <c r="L73" s="263">
        <f t="shared" si="17"/>
        <v>0</v>
      </c>
      <c r="M73" s="264" t="e">
        <f t="shared" si="18"/>
        <v>#NUM!</v>
      </c>
      <c r="N73" s="265">
        <f t="shared" si="19"/>
        <v>0</v>
      </c>
      <c r="O73" s="266" t="e">
        <f t="shared" si="20"/>
        <v>#DIV/0!</v>
      </c>
      <c r="P73" s="264" t="e">
        <f t="shared" si="21"/>
        <v>#VALUE!</v>
      </c>
      <c r="Q73" s="267" t="e">
        <f t="shared" si="22"/>
        <v>#VALUE!</v>
      </c>
      <c r="R73" s="266" t="e">
        <f t="shared" si="23"/>
        <v>#DIV/0!</v>
      </c>
      <c r="S73" s="266" t="e">
        <f t="shared" si="24"/>
        <v>#DIV/0!</v>
      </c>
      <c r="T73" s="266" t="b">
        <f t="shared" si="36"/>
        <v>0</v>
      </c>
      <c r="U73" s="135" t="str">
        <f t="shared" si="25"/>
        <v>No</v>
      </c>
      <c r="V73" s="360" t="s">
        <v>474</v>
      </c>
      <c r="X73" s="362" t="str">
        <f t="shared" si="26"/>
        <v/>
      </c>
      <c r="Y73" s="363">
        <f t="shared" si="27"/>
        <v>0</v>
      </c>
      <c r="AB73" s="273" t="s">
        <v>475</v>
      </c>
      <c r="AC73" s="269" t="str">
        <f t="shared" si="28"/>
        <v>Not applicable</v>
      </c>
      <c r="AD73" s="269" t="str">
        <f t="shared" si="29"/>
        <v>Not applicable</v>
      </c>
      <c r="AF73" s="270">
        <f t="shared" si="30"/>
        <v>0</v>
      </c>
      <c r="AG73" s="270">
        <f t="shared" si="31"/>
        <v>0</v>
      </c>
      <c r="AH73" s="270">
        <f t="shared" si="32"/>
        <v>0</v>
      </c>
      <c r="AI73" s="270">
        <f t="shared" si="33"/>
        <v>0</v>
      </c>
      <c r="AJ73" s="270">
        <f t="shared" si="34"/>
        <v>0</v>
      </c>
      <c r="AM73" s="271">
        <f t="shared" si="35"/>
        <v>0</v>
      </c>
    </row>
    <row r="74" spans="1:40" hidden="1">
      <c r="A74" s="260" t="s">
        <v>475</v>
      </c>
      <c r="B74" s="395"/>
      <c r="C74" s="393"/>
      <c r="D74" s="393"/>
      <c r="E74" s="396"/>
      <c r="F74" s="397"/>
      <c r="G74" s="393"/>
      <c r="H74" s="398"/>
      <c r="I74" s="262">
        <f t="shared" si="15"/>
        <v>0</v>
      </c>
      <c r="K74" s="245">
        <f t="shared" si="16"/>
        <v>0</v>
      </c>
      <c r="L74" s="263">
        <f t="shared" si="17"/>
        <v>0</v>
      </c>
      <c r="M74" s="264" t="e">
        <f t="shared" si="18"/>
        <v>#NUM!</v>
      </c>
      <c r="N74" s="265">
        <f t="shared" si="19"/>
        <v>0</v>
      </c>
      <c r="O74" s="266" t="e">
        <f t="shared" si="20"/>
        <v>#DIV/0!</v>
      </c>
      <c r="P74" s="264" t="e">
        <f t="shared" si="21"/>
        <v>#VALUE!</v>
      </c>
      <c r="Q74" s="267" t="e">
        <f t="shared" si="22"/>
        <v>#VALUE!</v>
      </c>
      <c r="R74" s="266" t="e">
        <f t="shared" si="23"/>
        <v>#DIV/0!</v>
      </c>
      <c r="S74" s="266" t="e">
        <f t="shared" si="24"/>
        <v>#DIV/0!</v>
      </c>
      <c r="T74" s="266" t="b">
        <f t="shared" si="36"/>
        <v>0</v>
      </c>
      <c r="U74" s="135" t="str">
        <f t="shared" si="25"/>
        <v>No</v>
      </c>
      <c r="V74" s="360" t="s">
        <v>475</v>
      </c>
      <c r="X74" s="362" t="str">
        <f t="shared" si="26"/>
        <v/>
      </c>
      <c r="Y74" s="363">
        <f t="shared" si="27"/>
        <v>0</v>
      </c>
      <c r="AB74" s="273" t="s">
        <v>476</v>
      </c>
      <c r="AC74" s="269" t="str">
        <f t="shared" si="28"/>
        <v>Not applicable</v>
      </c>
      <c r="AD74" s="269" t="str">
        <f t="shared" si="29"/>
        <v>Not applicable</v>
      </c>
      <c r="AF74" s="270">
        <f t="shared" si="30"/>
        <v>0</v>
      </c>
      <c r="AG74" s="270">
        <f t="shared" si="31"/>
        <v>0</v>
      </c>
      <c r="AH74" s="270">
        <f t="shared" si="32"/>
        <v>0</v>
      </c>
      <c r="AI74" s="270">
        <f t="shared" si="33"/>
        <v>0</v>
      </c>
      <c r="AJ74" s="270">
        <f t="shared" si="34"/>
        <v>0</v>
      </c>
      <c r="AM74" s="271">
        <f t="shared" si="35"/>
        <v>0</v>
      </c>
    </row>
    <row r="75" spans="1:40" hidden="1">
      <c r="A75" s="260" t="s">
        <v>476</v>
      </c>
      <c r="B75" s="395"/>
      <c r="C75" s="393"/>
      <c r="D75" s="393"/>
      <c r="E75" s="396"/>
      <c r="F75" s="397"/>
      <c r="G75" s="393"/>
      <c r="H75" s="398"/>
      <c r="I75" s="262">
        <f t="shared" si="15"/>
        <v>0</v>
      </c>
      <c r="K75" s="245">
        <f t="shared" si="16"/>
        <v>0</v>
      </c>
      <c r="L75" s="263">
        <f t="shared" si="17"/>
        <v>0</v>
      </c>
      <c r="M75" s="264" t="e">
        <f t="shared" si="18"/>
        <v>#NUM!</v>
      </c>
      <c r="N75" s="265">
        <f>IF(G75="",0,IF(G75="SVR",0,IF(G75="Term Discount",0,IF(H75="Interest-only",(O75*$AJ$69)/12,IF(H75="Repayment",PMT($AJ$69/12,(L75-G75)*12,-O75))))))</f>
        <v>0</v>
      </c>
      <c r="O75" s="266" t="e">
        <f>IF((B75*(1+(E75/12))^(G75*12)-(I75*((((1+(E75/12))^(G75*12))-1)/(E75/12))))&lt;0,0,(B75*(1+(E75/12))^(G75*12)-(I75*((((1+(E75/12))^(G75*12))-1)/(E75/12)))))</f>
        <v>#DIV/0!</v>
      </c>
      <c r="P75" s="264" t="e">
        <f t="shared" si="21"/>
        <v>#VALUE!</v>
      </c>
      <c r="Q75" s="267" t="e">
        <f t="shared" si="22"/>
        <v>#VALUE!</v>
      </c>
      <c r="R75" s="266" t="e">
        <f t="shared" si="23"/>
        <v>#DIV/0!</v>
      </c>
      <c r="S75" s="266" t="e">
        <f t="shared" si="24"/>
        <v>#DIV/0!</v>
      </c>
      <c r="T75" s="266" t="b">
        <f t="shared" si="36"/>
        <v>0</v>
      </c>
      <c r="U75" s="135" t="str">
        <f>IF(F75&lt;&gt;"Fixed","No",IF(G75&lt;&gt;5,"No","Yes"))</f>
        <v>No</v>
      </c>
      <c r="V75" s="360" t="s">
        <v>476</v>
      </c>
      <c r="X75" s="362" t="str">
        <f t="shared" si="26"/>
        <v/>
      </c>
      <c r="Y75" s="363">
        <f t="shared" si="27"/>
        <v>0</v>
      </c>
      <c r="AB75" s="273" t="s">
        <v>477</v>
      </c>
      <c r="AC75" s="269" t="str">
        <f t="shared" si="28"/>
        <v>Not applicable</v>
      </c>
      <c r="AD75" s="269" t="str">
        <f t="shared" si="29"/>
        <v>Not applicable</v>
      </c>
      <c r="AF75" s="270">
        <f t="shared" si="30"/>
        <v>0</v>
      </c>
      <c r="AG75" s="270">
        <f t="shared" si="31"/>
        <v>0</v>
      </c>
      <c r="AH75" s="270">
        <f t="shared" si="32"/>
        <v>0</v>
      </c>
      <c r="AI75" s="270">
        <f t="shared" si="33"/>
        <v>0</v>
      </c>
      <c r="AJ75" s="270">
        <f>IF(I75=0,0,IF(G75="BTL SVR","Not applicable",IF(G75="Term Discount","Not applicable",N75)))</f>
        <v>0</v>
      </c>
      <c r="AM75" s="271">
        <f t="shared" si="35"/>
        <v>0</v>
      </c>
    </row>
    <row r="76" spans="1:40" hidden="1">
      <c r="A76" s="260" t="s">
        <v>477</v>
      </c>
      <c r="B76" s="395"/>
      <c r="C76" s="393"/>
      <c r="D76" s="393"/>
      <c r="E76" s="396"/>
      <c r="F76" s="397"/>
      <c r="G76" s="393"/>
      <c r="H76" s="398"/>
      <c r="I76" s="262">
        <f t="shared" si="15"/>
        <v>0</v>
      </c>
      <c r="K76" s="245">
        <f t="shared" si="16"/>
        <v>0</v>
      </c>
      <c r="L76" s="263">
        <f t="shared" si="17"/>
        <v>0</v>
      </c>
      <c r="M76" s="264" t="e">
        <f t="shared" si="18"/>
        <v>#NUM!</v>
      </c>
      <c r="N76" s="265">
        <f>IF(G76="",0,IF(G76="SVR",0,IF(G76="Term Discount",0,IF(H76="Interest-only",(O76*$AJ$69)/12,IF(H76="Repayment",PMT($AJ$69/12,(L76-G76)*12,-O76))))))</f>
        <v>0</v>
      </c>
      <c r="O76" s="266" t="e">
        <f>IF((B76*(1+(E76/12))^(G76*12)-(I76*((((1+(E76/12))^(G76*12))-1)/(E76/12))))&lt;0,0,(B76*(1+(E76/12))^(G76*12)-(I76*((((1+(E76/12))^(G76*12))-1)/(E76/12)))))</f>
        <v>#DIV/0!</v>
      </c>
      <c r="P76" s="264" t="e">
        <f t="shared" si="21"/>
        <v>#VALUE!</v>
      </c>
      <c r="Q76" s="267" t="e">
        <f t="shared" si="22"/>
        <v>#VALUE!</v>
      </c>
      <c r="R76" s="266" t="e">
        <f t="shared" si="23"/>
        <v>#DIV/0!</v>
      </c>
      <c r="S76" s="266" t="e">
        <f t="shared" si="24"/>
        <v>#DIV/0!</v>
      </c>
      <c r="T76" s="266" t="b">
        <f t="shared" si="36"/>
        <v>0</v>
      </c>
      <c r="U76" s="135" t="str">
        <f>IF(F76&lt;&gt;"Fixed","No",IF(G76&lt;&gt;5,"No","Yes"))</f>
        <v>No</v>
      </c>
      <c r="V76" s="360" t="s">
        <v>477</v>
      </c>
      <c r="X76" s="362" t="str">
        <f t="shared" si="26"/>
        <v/>
      </c>
      <c r="Y76" s="363">
        <f t="shared" si="27"/>
        <v>0</v>
      </c>
      <c r="AB76" s="273" t="s">
        <v>478</v>
      </c>
      <c r="AC76" s="269" t="str">
        <f t="shared" si="28"/>
        <v>Not applicable</v>
      </c>
      <c r="AD76" s="269" t="str">
        <f t="shared" si="29"/>
        <v>Not applicable</v>
      </c>
      <c r="AF76" s="270">
        <f t="shared" si="30"/>
        <v>0</v>
      </c>
      <c r="AG76" s="270">
        <f t="shared" si="31"/>
        <v>0</v>
      </c>
      <c r="AH76" s="270">
        <f t="shared" si="32"/>
        <v>0</v>
      </c>
      <c r="AI76" s="270">
        <f t="shared" si="33"/>
        <v>0</v>
      </c>
      <c r="AJ76" s="270">
        <f>IF(I76=0,0,IF(G76="BTL SVR","Not applicable",IF(G76="Term Discount","Not applicable",N76)))</f>
        <v>0</v>
      </c>
      <c r="AM76" s="271">
        <f t="shared" si="35"/>
        <v>0</v>
      </c>
    </row>
    <row r="77" spans="1:40" hidden="1">
      <c r="A77" s="260" t="s">
        <v>478</v>
      </c>
      <c r="B77" s="395"/>
      <c r="C77" s="393"/>
      <c r="D77" s="393"/>
      <c r="E77" s="396"/>
      <c r="F77" s="397"/>
      <c r="G77" s="393"/>
      <c r="H77" s="398"/>
      <c r="I77" s="262">
        <f t="shared" si="15"/>
        <v>0</v>
      </c>
      <c r="K77" s="245">
        <f t="shared" si="16"/>
        <v>0</v>
      </c>
      <c r="L77" s="263">
        <f t="shared" si="17"/>
        <v>0</v>
      </c>
      <c r="M77" s="264" t="e">
        <f t="shared" si="18"/>
        <v>#NUM!</v>
      </c>
      <c r="N77" s="265">
        <f t="shared" si="19"/>
        <v>0</v>
      </c>
      <c r="O77" s="266" t="e">
        <f t="shared" si="20"/>
        <v>#DIV/0!</v>
      </c>
      <c r="P77" s="264" t="e">
        <f t="shared" si="21"/>
        <v>#VALUE!</v>
      </c>
      <c r="Q77" s="267" t="e">
        <f t="shared" si="22"/>
        <v>#VALUE!</v>
      </c>
      <c r="R77" s="266" t="e">
        <f t="shared" si="23"/>
        <v>#DIV/0!</v>
      </c>
      <c r="S77" s="266" t="e">
        <f t="shared" si="24"/>
        <v>#DIV/0!</v>
      </c>
      <c r="T77" s="266" t="b">
        <f t="shared" si="36"/>
        <v>0</v>
      </c>
      <c r="U77" s="135" t="str">
        <f t="shared" si="25"/>
        <v>No</v>
      </c>
      <c r="V77" s="360" t="s">
        <v>478</v>
      </c>
      <c r="X77" s="362" t="str">
        <f t="shared" si="26"/>
        <v/>
      </c>
      <c r="Y77" s="363">
        <f t="shared" si="27"/>
        <v>0</v>
      </c>
      <c r="AB77" s="273" t="s">
        <v>479</v>
      </c>
      <c r="AC77" s="269" t="str">
        <f t="shared" si="28"/>
        <v>Not applicable</v>
      </c>
      <c r="AD77" s="269" t="str">
        <f t="shared" si="29"/>
        <v>Not applicable</v>
      </c>
      <c r="AF77" s="270">
        <f t="shared" si="30"/>
        <v>0</v>
      </c>
      <c r="AG77" s="270">
        <f t="shared" si="31"/>
        <v>0</v>
      </c>
      <c r="AH77" s="270">
        <f t="shared" si="32"/>
        <v>0</v>
      </c>
      <c r="AI77" s="270">
        <f t="shared" si="33"/>
        <v>0</v>
      </c>
      <c r="AJ77" s="270">
        <f t="shared" si="34"/>
        <v>0</v>
      </c>
      <c r="AM77" s="271">
        <f t="shared" si="35"/>
        <v>0</v>
      </c>
    </row>
    <row r="78" spans="1:40" hidden="1">
      <c r="A78" s="260" t="s">
        <v>479</v>
      </c>
      <c r="B78" s="395"/>
      <c r="C78" s="393"/>
      <c r="D78" s="393"/>
      <c r="E78" s="396"/>
      <c r="F78" s="397"/>
      <c r="G78" s="393"/>
      <c r="H78" s="398"/>
      <c r="I78" s="262">
        <f t="shared" si="15"/>
        <v>0</v>
      </c>
      <c r="K78" s="245">
        <f t="shared" si="16"/>
        <v>0</v>
      </c>
      <c r="L78" s="263">
        <f t="shared" si="17"/>
        <v>0</v>
      </c>
      <c r="M78" s="264" t="e">
        <f t="shared" si="18"/>
        <v>#NUM!</v>
      </c>
      <c r="N78" s="265">
        <f t="shared" si="19"/>
        <v>0</v>
      </c>
      <c r="O78" s="266" t="e">
        <f t="shared" si="20"/>
        <v>#DIV/0!</v>
      </c>
      <c r="P78" s="264" t="e">
        <f t="shared" si="21"/>
        <v>#VALUE!</v>
      </c>
      <c r="Q78" s="267" t="e">
        <f t="shared" si="22"/>
        <v>#VALUE!</v>
      </c>
      <c r="R78" s="266" t="e">
        <f t="shared" si="23"/>
        <v>#DIV/0!</v>
      </c>
      <c r="S78" s="266" t="e">
        <f t="shared" si="24"/>
        <v>#DIV/0!</v>
      </c>
      <c r="T78" s="266" t="b">
        <f t="shared" si="36"/>
        <v>0</v>
      </c>
      <c r="U78" s="135" t="str">
        <f t="shared" si="25"/>
        <v>No</v>
      </c>
      <c r="V78" s="360" t="s">
        <v>479</v>
      </c>
      <c r="X78" s="362" t="str">
        <f t="shared" si="26"/>
        <v/>
      </c>
      <c r="Y78" s="363">
        <f t="shared" si="27"/>
        <v>0</v>
      </c>
      <c r="AB78" s="273" t="s">
        <v>480</v>
      </c>
      <c r="AC78" s="269" t="str">
        <f t="shared" si="28"/>
        <v>Not applicable</v>
      </c>
      <c r="AD78" s="269" t="str">
        <f t="shared" si="29"/>
        <v>Not applicable</v>
      </c>
      <c r="AF78" s="270">
        <f t="shared" si="30"/>
        <v>0</v>
      </c>
      <c r="AG78" s="270">
        <f t="shared" si="31"/>
        <v>0</v>
      </c>
      <c r="AH78" s="270">
        <f t="shared" si="32"/>
        <v>0</v>
      </c>
      <c r="AI78" s="270">
        <f t="shared" si="33"/>
        <v>0</v>
      </c>
      <c r="AJ78" s="270">
        <f t="shared" si="34"/>
        <v>0</v>
      </c>
      <c r="AM78" s="271">
        <f t="shared" si="35"/>
        <v>0</v>
      </c>
    </row>
    <row r="79" spans="1:40">
      <c r="A79" s="274"/>
      <c r="B79" s="275">
        <f>SUM(B71:B78)</f>
        <v>0</v>
      </c>
      <c r="C79" s="276"/>
      <c r="D79" s="276"/>
      <c r="E79" s="274"/>
      <c r="F79" s="276"/>
      <c r="G79" s="274"/>
      <c r="H79" s="370" t="s">
        <v>3</v>
      </c>
      <c r="I79" s="262">
        <f>SUM(I71:I78)</f>
        <v>0</v>
      </c>
      <c r="K79" s="144"/>
      <c r="V79" s="361"/>
      <c r="X79" s="364" t="s">
        <v>3</v>
      </c>
      <c r="Y79" s="363">
        <f>SUM(Y71:Y78)</f>
        <v>0</v>
      </c>
      <c r="AB79" s="273" t="s">
        <v>3</v>
      </c>
      <c r="AC79" s="269">
        <f>SUM(AC71:AC78)</f>
        <v>0</v>
      </c>
      <c r="AD79" s="269">
        <f>SUM(AD71:AD78)</f>
        <v>0</v>
      </c>
      <c r="AF79" s="270">
        <f>SUM(AF71:AF78)</f>
        <v>0</v>
      </c>
      <c r="AG79" s="270">
        <f>SUM(AG71:AG78)</f>
        <v>0</v>
      </c>
      <c r="AH79" s="270">
        <f>SUM(AH71:AH78)</f>
        <v>0</v>
      </c>
      <c r="AI79" s="270">
        <f>SUM(AI71:AI78)</f>
        <v>0</v>
      </c>
      <c r="AJ79" s="270">
        <f>SUM(AJ71:AJ78)</f>
        <v>0</v>
      </c>
      <c r="AM79" s="277">
        <f>SUM(AM71:AM78)</f>
        <v>0</v>
      </c>
    </row>
    <row r="80" spans="1:40" ht="13.5" customHeight="1">
      <c r="A80" s="28"/>
      <c r="K80" s="144"/>
      <c r="O80" s="25">
        <v>5</v>
      </c>
      <c r="Q80" s="185" t="s">
        <v>491</v>
      </c>
      <c r="R80" s="278" t="e">
        <f>SUM(R71:R78)</f>
        <v>#DIV/0!</v>
      </c>
      <c r="S80" s="278" t="e">
        <f>SUM(S71:S78)</f>
        <v>#DIV/0!</v>
      </c>
      <c r="T80" s="278">
        <f>SUM(T71:T78)</f>
        <v>0</v>
      </c>
    </row>
    <row r="81" spans="1:50" ht="12.75" customHeight="1">
      <c r="A81" s="16" t="s">
        <v>193</v>
      </c>
      <c r="I81" s="279" t="str">
        <f>IF(T80&gt;0,"Includes an Interest only amount of £"&amp; (T80),"")</f>
        <v/>
      </c>
      <c r="K81" s="280"/>
      <c r="L81" s="281"/>
      <c r="AD81" s="504" t="s">
        <v>488</v>
      </c>
      <c r="AE81" s="504"/>
    </row>
    <row r="82" spans="1:50">
      <c r="J82" s="28" t="s">
        <v>32</v>
      </c>
      <c r="K82" s="282"/>
      <c r="L82" s="223"/>
      <c r="M82" s="223"/>
      <c r="N82" s="223"/>
      <c r="O82" s="223"/>
      <c r="P82" s="223"/>
      <c r="Q82" s="223"/>
      <c r="R82" s="223"/>
      <c r="S82" s="223"/>
      <c r="T82" s="223"/>
      <c r="U82" s="223"/>
      <c r="V82" s="283"/>
      <c r="AD82" s="504"/>
      <c r="AE82" s="504"/>
    </row>
    <row r="83" spans="1:50" ht="15" customHeight="1">
      <c r="A83" s="127" t="s">
        <v>21</v>
      </c>
      <c r="D83" s="129">
        <f>SUM(K11:K19)</f>
        <v>0</v>
      </c>
      <c r="K83" s="282"/>
      <c r="L83" s="223"/>
      <c r="M83" s="223"/>
      <c r="N83" s="223"/>
      <c r="O83" s="223"/>
      <c r="P83" s="223"/>
      <c r="Q83" s="223"/>
      <c r="R83" s="223"/>
      <c r="S83" s="223"/>
      <c r="T83" s="223"/>
      <c r="U83" s="223"/>
      <c r="V83" s="283" t="s">
        <v>32</v>
      </c>
      <c r="AD83" s="127"/>
      <c r="AE83" s="127"/>
      <c r="AW83" s="28" t="s">
        <v>32</v>
      </c>
    </row>
    <row r="84" spans="1:50" ht="13.5" customHeight="1">
      <c r="F84" s="207"/>
      <c r="K84" s="284"/>
      <c r="L84" s="285"/>
      <c r="M84" s="285"/>
      <c r="N84" s="285"/>
      <c r="O84" s="26" t="s">
        <v>124</v>
      </c>
      <c r="P84" s="223"/>
      <c r="Q84" s="26">
        <v>2</v>
      </c>
      <c r="R84" s="223"/>
      <c r="S84" s="223"/>
      <c r="T84" s="285"/>
      <c r="U84" s="285"/>
      <c r="V84" s="283"/>
      <c r="AD84" s="127" t="s">
        <v>481</v>
      </c>
      <c r="AE84" s="382">
        <v>100000</v>
      </c>
    </row>
    <row r="85" spans="1:50">
      <c r="A85" s="127" t="s">
        <v>22</v>
      </c>
      <c r="D85" s="129">
        <f>SUM(K27:K60)</f>
        <v>17846.399999998626</v>
      </c>
      <c r="K85" s="286"/>
      <c r="L85" s="135" t="s">
        <v>117</v>
      </c>
      <c r="M85" s="135" t="e">
        <f>IF(#REF!="Fixed",1,0)</f>
        <v>#REF!</v>
      </c>
      <c r="N85" s="135"/>
      <c r="O85" s="25" t="s">
        <v>116</v>
      </c>
      <c r="Q85" s="25">
        <v>3</v>
      </c>
      <c r="T85" s="135"/>
      <c r="U85" s="135"/>
      <c r="AD85" s="127"/>
      <c r="AE85" s="127"/>
    </row>
    <row r="86" spans="1:50" ht="12.75" customHeight="1">
      <c r="K86" s="135"/>
      <c r="L86" s="135" t="s">
        <v>118</v>
      </c>
      <c r="M86" s="135" t="e">
        <f>IF(#REF!=5,1,0)</f>
        <v>#REF!</v>
      </c>
      <c r="N86" s="135"/>
      <c r="Q86" s="25">
        <v>5</v>
      </c>
      <c r="T86" s="135"/>
      <c r="U86" s="135"/>
      <c r="AB86" s="287" t="s">
        <v>484</v>
      </c>
      <c r="AD86" s="28" t="s">
        <v>482</v>
      </c>
      <c r="AE86" s="383">
        <v>500</v>
      </c>
      <c r="AV86" s="26" t="s">
        <v>32</v>
      </c>
    </row>
    <row r="87" spans="1:50">
      <c r="A87" s="127" t="s">
        <v>23</v>
      </c>
      <c r="D87" s="129">
        <f>D83-D85</f>
        <v>-17846.399999998626</v>
      </c>
      <c r="F87" s="288"/>
      <c r="I87" s="204"/>
      <c r="J87" s="204"/>
      <c r="K87" s="286"/>
      <c r="L87" s="135" t="s">
        <v>119</v>
      </c>
      <c r="M87" s="135" t="e">
        <f>SUM(M85:M86)</f>
        <v>#REF!</v>
      </c>
      <c r="N87" s="135"/>
      <c r="Q87" s="26" t="s">
        <v>130</v>
      </c>
      <c r="R87" s="26"/>
      <c r="S87" s="26"/>
      <c r="T87" s="135"/>
      <c r="U87" s="135"/>
      <c r="AB87" s="287">
        <f>NPER(AE88/12,AE86,-AE84)</f>
        <v>252.14994293559363</v>
      </c>
      <c r="AD87" s="127"/>
      <c r="AE87" s="127"/>
      <c r="AV87" s="25" t="s">
        <v>32</v>
      </c>
    </row>
    <row r="88" spans="1:50" ht="12.75" customHeight="1">
      <c r="F88" s="178"/>
      <c r="I88" s="178"/>
      <c r="J88" s="178"/>
      <c r="K88" s="286"/>
      <c r="L88" s="135"/>
      <c r="M88" s="135"/>
      <c r="N88" s="135"/>
      <c r="Q88" s="25" t="s">
        <v>129</v>
      </c>
      <c r="T88" s="135"/>
      <c r="U88" s="135"/>
      <c r="V88" s="283"/>
      <c r="AB88" s="287" t="s">
        <v>485</v>
      </c>
      <c r="AD88" s="28" t="s">
        <v>483</v>
      </c>
      <c r="AE88" s="384">
        <v>2.29E-2</v>
      </c>
    </row>
    <row r="89" spans="1:50" ht="12.75" customHeight="1">
      <c r="A89" s="16" t="s">
        <v>194</v>
      </c>
      <c r="F89" s="178"/>
      <c r="I89" s="178"/>
      <c r="J89" s="178"/>
      <c r="K89" s="286"/>
      <c r="L89" s="135"/>
      <c r="M89" s="135"/>
      <c r="N89" s="135"/>
      <c r="O89" s="135"/>
      <c r="P89" s="135"/>
      <c r="Q89" s="135"/>
      <c r="R89" s="135"/>
      <c r="S89" s="135"/>
      <c r="T89" s="135"/>
      <c r="U89" s="135"/>
      <c r="AB89" s="287">
        <f>ROUND(AB87,0)</f>
        <v>252</v>
      </c>
      <c r="AC89" s="25" t="s">
        <v>486</v>
      </c>
      <c r="AD89" s="127"/>
      <c r="AE89" s="127"/>
    </row>
    <row r="90" spans="1:50">
      <c r="F90" s="178"/>
      <c r="I90" s="178"/>
      <c r="J90" s="178"/>
      <c r="K90" s="286"/>
      <c r="L90" s="135"/>
      <c r="M90" s="135"/>
      <c r="N90" s="135"/>
      <c r="O90" s="135"/>
      <c r="P90" s="135"/>
      <c r="Q90" s="135"/>
      <c r="R90" s="135"/>
      <c r="S90" s="135"/>
      <c r="T90" s="135"/>
      <c r="U90" s="135"/>
      <c r="V90" s="283"/>
      <c r="AD90" s="503" t="str">
        <f>IF(AE88=0,"",INT(AB89/12)&amp;" years and "&amp;MOD(AB89,12)&amp;" months")</f>
        <v>21 years and 0 months</v>
      </c>
      <c r="AE90" s="503"/>
      <c r="AX90" s="28" t="s">
        <v>32</v>
      </c>
    </row>
    <row r="91" spans="1:50">
      <c r="A91" s="127" t="s">
        <v>146</v>
      </c>
      <c r="D91" s="129">
        <f>D87/12</f>
        <v>-1487.1999999998854</v>
      </c>
      <c r="F91" s="178"/>
      <c r="I91" s="178"/>
      <c r="J91" s="178"/>
      <c r="K91" s="286"/>
      <c r="L91" s="135"/>
      <c r="M91" s="135"/>
      <c r="N91" s="135"/>
      <c r="O91" s="135"/>
      <c r="P91" s="135"/>
      <c r="Q91" s="135"/>
      <c r="R91" s="135"/>
      <c r="S91" s="135"/>
      <c r="T91" s="135"/>
      <c r="U91" s="135"/>
      <c r="V91" s="283"/>
    </row>
    <row r="92" spans="1:50">
      <c r="F92" s="178"/>
      <c r="I92" s="178"/>
      <c r="J92" s="178"/>
      <c r="K92" s="289"/>
      <c r="L92" s="224"/>
      <c r="M92" s="224"/>
      <c r="N92" s="224"/>
      <c r="O92" s="224"/>
      <c r="P92" s="224"/>
      <c r="Q92" s="224"/>
      <c r="R92" s="224"/>
      <c r="S92" s="224"/>
      <c r="T92" s="224"/>
      <c r="U92" s="224"/>
      <c r="V92" s="178"/>
    </row>
    <row r="93" spans="1:50">
      <c r="A93" s="207" t="s">
        <v>237</v>
      </c>
      <c r="D93" s="204">
        <f>D91*90%</f>
        <v>-1338.479999999897</v>
      </c>
      <c r="K93" s="289"/>
      <c r="L93" s="224"/>
      <c r="M93" s="224"/>
      <c r="N93" s="224"/>
      <c r="O93" s="224"/>
      <c r="P93" s="224"/>
      <c r="Q93" s="224"/>
      <c r="R93" s="224"/>
      <c r="S93" s="224"/>
      <c r="T93" s="224"/>
      <c r="U93" s="224"/>
      <c r="V93" s="290"/>
      <c r="AB93" s="467" t="s">
        <v>171</v>
      </c>
      <c r="AC93" s="467"/>
      <c r="AD93" s="467"/>
    </row>
    <row r="94" spans="1:50">
      <c r="K94" s="289"/>
      <c r="L94" s="224"/>
      <c r="M94" s="224"/>
      <c r="N94" s="224"/>
      <c r="O94" s="224"/>
      <c r="P94" s="224"/>
      <c r="Q94" s="224"/>
      <c r="R94" s="224"/>
      <c r="S94" s="224"/>
      <c r="T94" s="224"/>
      <c r="U94" s="224"/>
      <c r="W94" s="178"/>
      <c r="X94" s="178"/>
      <c r="AB94" s="467"/>
      <c r="AC94" s="467"/>
      <c r="AD94" s="467"/>
    </row>
    <row r="95" spans="1:50" ht="12.75" customHeight="1">
      <c r="A95" s="37" t="s">
        <v>357</v>
      </c>
      <c r="C95" s="16"/>
      <c r="D95" s="16"/>
      <c r="E95" s="16"/>
      <c r="F95" s="16"/>
      <c r="G95" s="16"/>
      <c r="H95" s="16"/>
      <c r="I95" s="16"/>
      <c r="K95" s="289"/>
      <c r="L95" s="224"/>
      <c r="M95" s="224"/>
      <c r="N95" s="224"/>
      <c r="O95" s="224"/>
      <c r="P95" s="224"/>
      <c r="Q95" s="224"/>
      <c r="R95" s="224"/>
      <c r="S95" s="224"/>
      <c r="T95" s="224"/>
      <c r="U95" s="224"/>
      <c r="AV95" s="26" t="s">
        <v>32</v>
      </c>
    </row>
    <row r="96" spans="1:50" ht="26.4">
      <c r="D96" s="291"/>
      <c r="K96" s="292"/>
      <c r="L96" s="293"/>
      <c r="M96" s="293"/>
      <c r="N96" s="293"/>
      <c r="O96" s="293"/>
      <c r="P96" s="293"/>
      <c r="Q96" s="293"/>
      <c r="R96" s="293"/>
      <c r="S96" s="293"/>
      <c r="T96" s="293"/>
      <c r="U96" s="294"/>
      <c r="AB96" s="248" t="s">
        <v>121</v>
      </c>
      <c r="AC96" s="250" t="s">
        <v>173</v>
      </c>
      <c r="AD96" s="250" t="s">
        <v>186</v>
      </c>
      <c r="AE96" s="26" t="s">
        <v>487</v>
      </c>
      <c r="AV96" s="295"/>
    </row>
    <row r="97" spans="1:51" ht="16.8">
      <c r="A97" s="16" t="s">
        <v>201</v>
      </c>
      <c r="F97" s="296" t="s">
        <v>445</v>
      </c>
      <c r="G97" s="297"/>
      <c r="H97" s="297"/>
      <c r="I97" s="392" t="s">
        <v>137</v>
      </c>
      <c r="J97" s="298" t="str">
        <f>IF(I97="No","",IF(I97="Yes","Tax will be applied at Basic rate"))</f>
        <v/>
      </c>
      <c r="K97" s="299" t="s">
        <v>356</v>
      </c>
      <c r="O97" s="297" t="s">
        <v>199</v>
      </c>
      <c r="R97" s="224"/>
      <c r="S97" s="224"/>
      <c r="T97" s="224"/>
      <c r="U97" s="300"/>
      <c r="AB97" s="301" t="s">
        <v>170</v>
      </c>
      <c r="AC97" s="262">
        <f t="shared" ref="AC97:AD104" si="37">AG71</f>
        <v>0</v>
      </c>
      <c r="AD97" s="262">
        <f t="shared" si="37"/>
        <v>0</v>
      </c>
      <c r="AE97" s="26" t="s">
        <v>487</v>
      </c>
    </row>
    <row r="98" spans="1:51">
      <c r="A98" s="28"/>
      <c r="K98" s="302"/>
      <c r="U98" s="303"/>
      <c r="AB98" s="301">
        <v>1</v>
      </c>
      <c r="AC98" s="262">
        <f t="shared" si="37"/>
        <v>0</v>
      </c>
      <c r="AD98" s="262">
        <f t="shared" si="37"/>
        <v>0</v>
      </c>
      <c r="AE98" s="26" t="s">
        <v>487</v>
      </c>
    </row>
    <row r="99" spans="1:51">
      <c r="A99" s="28" t="str">
        <f>IF($I$97="Yes","HOLIDAY LET - GROSS ANNUAL RENTAL INCOME",IF($I$97="No","GROSS MONTHLY RENTAL INCOME"))</f>
        <v>GROSS MONTHLY RENTAL INCOME</v>
      </c>
      <c r="D99" s="388">
        <v>0</v>
      </c>
      <c r="F99" s="28" t="s">
        <v>383</v>
      </c>
      <c r="I99" s="399" t="s">
        <v>380</v>
      </c>
      <c r="K99" s="302"/>
      <c r="P99" s="28" t="s">
        <v>174</v>
      </c>
      <c r="Q99" s="28"/>
      <c r="R99" s="28"/>
      <c r="S99" s="304">
        <v>0</v>
      </c>
      <c r="T99" s="305" t="s">
        <v>136</v>
      </c>
      <c r="U99" s="303"/>
      <c r="AB99" s="301">
        <v>2</v>
      </c>
      <c r="AC99" s="262">
        <f t="shared" si="37"/>
        <v>0</v>
      </c>
      <c r="AD99" s="262">
        <f t="shared" si="37"/>
        <v>0</v>
      </c>
      <c r="AE99" s="26" t="s">
        <v>487</v>
      </c>
      <c r="AW99" s="28" t="s">
        <v>32</v>
      </c>
      <c r="AY99" s="28" t="s">
        <v>32</v>
      </c>
    </row>
    <row r="100" spans="1:51">
      <c r="K100" s="306" t="s">
        <v>188</v>
      </c>
      <c r="L100" s="244"/>
      <c r="M100" s="244"/>
      <c r="N100" s="307">
        <f>IF(D99&lt;=S110,0,S110)</f>
        <v>0</v>
      </c>
      <c r="P100" s="28" t="s">
        <v>4</v>
      </c>
      <c r="Q100" s="28"/>
      <c r="R100" s="210" t="s">
        <v>104</v>
      </c>
      <c r="S100" s="304">
        <v>0</v>
      </c>
      <c r="T100" s="305" t="s">
        <v>136</v>
      </c>
      <c r="U100" s="303"/>
      <c r="AB100" s="301">
        <v>3</v>
      </c>
      <c r="AC100" s="262">
        <f t="shared" si="37"/>
        <v>0</v>
      </c>
      <c r="AD100" s="262">
        <f t="shared" si="37"/>
        <v>0</v>
      </c>
      <c r="AE100" s="26" t="s">
        <v>487</v>
      </c>
    </row>
    <row r="101" spans="1:51" ht="12.75" customHeight="1">
      <c r="A101" s="28" t="str">
        <f>Income!N95</f>
        <v>Rate of tax applied to profits based on tax band selected</v>
      </c>
      <c r="D101" s="308">
        <f>IF(I79=0,0,Income!O93)</f>
        <v>0</v>
      </c>
      <c r="F101" s="16" t="str">
        <f>IF(D101&gt;20%,"GROSS rental coverage of stressed payment must be 165% or greater","GROSS rental coverage of stressed payment must be 130% or greater")</f>
        <v>GROSS rental coverage of stressed payment must be 130% or greater</v>
      </c>
      <c r="K101" s="309" t="s">
        <v>192</v>
      </c>
      <c r="L101" s="127"/>
      <c r="M101" s="127"/>
      <c r="N101" s="142">
        <f>IF(D99&lt;=S110,0,(D99-N100))</f>
        <v>0</v>
      </c>
      <c r="P101" s="28" t="s">
        <v>175</v>
      </c>
      <c r="Q101" s="28"/>
      <c r="R101" s="28"/>
      <c r="S101" s="304">
        <v>0</v>
      </c>
      <c r="T101" s="305" t="s">
        <v>136</v>
      </c>
      <c r="U101" s="303"/>
      <c r="AB101" s="301">
        <v>4</v>
      </c>
      <c r="AC101" s="262">
        <f t="shared" si="37"/>
        <v>0</v>
      </c>
      <c r="AD101" s="262">
        <f t="shared" si="37"/>
        <v>0</v>
      </c>
      <c r="AE101" s="26" t="s">
        <v>487</v>
      </c>
      <c r="AW101" s="28" t="s">
        <v>32</v>
      </c>
    </row>
    <row r="102" spans="1:51" ht="12.75" customHeight="1">
      <c r="K102" s="309"/>
      <c r="L102" s="127"/>
      <c r="M102" s="127"/>
      <c r="N102" s="291"/>
      <c r="P102" s="28" t="s">
        <v>182</v>
      </c>
      <c r="Q102" s="28"/>
      <c r="R102" s="28"/>
      <c r="S102" s="304">
        <v>0</v>
      </c>
      <c r="T102" s="305" t="s">
        <v>136</v>
      </c>
      <c r="U102" s="303"/>
      <c r="AB102" s="301">
        <v>5</v>
      </c>
      <c r="AC102" s="262">
        <f t="shared" si="37"/>
        <v>0</v>
      </c>
      <c r="AD102" s="262">
        <f t="shared" si="37"/>
        <v>0</v>
      </c>
      <c r="AE102" s="26" t="s">
        <v>487</v>
      </c>
    </row>
    <row r="103" spans="1:51">
      <c r="A103" s="37" t="s">
        <v>519</v>
      </c>
      <c r="F103" s="37" t="str">
        <f>"Ability to support stressed CMS on GROSS rental income on "&amp;C67&amp;""</f>
        <v>Ability to support stressed CMS on GROSS rental income on CAPITAL REPAYMENT</v>
      </c>
      <c r="H103" s="310"/>
      <c r="I103" s="311"/>
      <c r="K103" s="309" t="s">
        <v>191</v>
      </c>
      <c r="L103" s="127"/>
      <c r="M103" s="127"/>
      <c r="N103" s="142">
        <f>SUM(N101*D101)</f>
        <v>0</v>
      </c>
      <c r="P103" s="28" t="s">
        <v>176</v>
      </c>
      <c r="Q103" s="28"/>
      <c r="R103" s="28"/>
      <c r="S103" s="304">
        <v>0</v>
      </c>
      <c r="T103" s="305" t="s">
        <v>136</v>
      </c>
      <c r="U103" s="303"/>
      <c r="AB103" s="301">
        <v>6</v>
      </c>
      <c r="AC103" s="262">
        <f t="shared" si="37"/>
        <v>0</v>
      </c>
      <c r="AD103" s="262">
        <f t="shared" si="37"/>
        <v>0</v>
      </c>
      <c r="AE103" s="26" t="s">
        <v>487</v>
      </c>
      <c r="AW103" s="312"/>
    </row>
    <row r="104" spans="1:51" ht="12.75" customHeight="1">
      <c r="K104" s="313" t="s">
        <v>239</v>
      </c>
      <c r="L104" s="127"/>
      <c r="M104" s="127"/>
      <c r="N104" s="142">
        <f>IF(N103&lt;=I79*20%,0,(I79*20%))</f>
        <v>0</v>
      </c>
      <c r="P104" s="28" t="s">
        <v>177</v>
      </c>
      <c r="Q104" s="28"/>
      <c r="R104" s="28"/>
      <c r="S104" s="304">
        <v>0</v>
      </c>
      <c r="T104" s="305" t="s">
        <v>136</v>
      </c>
      <c r="U104" s="303"/>
      <c r="AB104" s="301">
        <v>7</v>
      </c>
      <c r="AC104" s="262">
        <f t="shared" si="37"/>
        <v>0</v>
      </c>
      <c r="AD104" s="262">
        <f t="shared" si="37"/>
        <v>0</v>
      </c>
      <c r="AE104" s="26" t="s">
        <v>487</v>
      </c>
    </row>
    <row r="105" spans="1:51">
      <c r="D105" s="314" t="s">
        <v>521</v>
      </c>
      <c r="E105" s="244"/>
      <c r="I105" s="315" t="str">
        <f>C67</f>
        <v>CAPITAL REPAYMENT</v>
      </c>
      <c r="K105" s="309" t="s">
        <v>240</v>
      </c>
      <c r="L105" s="127"/>
      <c r="M105" s="127"/>
      <c r="N105" s="291"/>
      <c r="P105" s="28" t="s">
        <v>178</v>
      </c>
      <c r="Q105" s="28"/>
      <c r="R105" s="28"/>
      <c r="S105" s="316">
        <f>Y79/6</f>
        <v>0</v>
      </c>
      <c r="T105" s="231" t="s">
        <v>136</v>
      </c>
      <c r="U105" s="303"/>
      <c r="AB105" s="250" t="s">
        <v>3</v>
      </c>
      <c r="AC105" s="262">
        <f>SUM(AC97:AC104)</f>
        <v>0</v>
      </c>
      <c r="AD105" s="262">
        <f>SUM(AD97:AD104)</f>
        <v>0</v>
      </c>
      <c r="AE105" s="26" t="s">
        <v>487</v>
      </c>
    </row>
    <row r="106" spans="1:51">
      <c r="A106" s="28" t="str">
        <f>IF($I$97="Yes","HOLIDAY LET - AVERAGE GROSS MONTHLY RENTAL",IF($I$97="No","GROSS MONTHLY RENTAL INCOME"))</f>
        <v>GROSS MONTHLY RENTAL INCOME</v>
      </c>
      <c r="D106" s="142">
        <f>IF($I$97="Yes",$D$99/12,IF($I$97="No",$D$99))</f>
        <v>0</v>
      </c>
      <c r="E106" s="244"/>
      <c r="F106" s="28" t="str">
        <f>IF($I$97="Yes","HOLIDAY LET - AVERAGE GROSS MONTHLY RENTAL",IF($I$97="No","GROSS MONTHLY RENTAL INCOME"))</f>
        <v>GROSS MONTHLY RENTAL INCOME</v>
      </c>
      <c r="G106" s="127"/>
      <c r="H106" s="127"/>
      <c r="I106" s="142">
        <f>IF($I$97="Yes",$D$99/12,IF($I$97="No",$D$99))</f>
        <v>0</v>
      </c>
      <c r="K106" s="309" t="s">
        <v>190</v>
      </c>
      <c r="L106" s="127"/>
      <c r="M106" s="127"/>
      <c r="N106" s="142">
        <f>IF(N103&lt;=I79*20%,0,(N103-N104))</f>
        <v>0</v>
      </c>
      <c r="P106" s="28" t="s">
        <v>179</v>
      </c>
      <c r="Q106" s="28"/>
      <c r="R106" s="28"/>
      <c r="S106" s="304">
        <v>0</v>
      </c>
      <c r="T106" s="305" t="s">
        <v>136</v>
      </c>
      <c r="U106" s="303"/>
      <c r="AE106" s="26"/>
    </row>
    <row r="107" spans="1:51">
      <c r="A107" s="28" t="s">
        <v>197</v>
      </c>
      <c r="D107" s="142">
        <f>AI79</f>
        <v>0</v>
      </c>
      <c r="E107" s="244"/>
      <c r="F107" s="29" t="str">
        <f>"Monthly CMS on "&amp; $C$67&amp; " at stress rate"</f>
        <v>Monthly CMS on CAPITAL REPAYMENT at stress rate</v>
      </c>
      <c r="G107" s="127"/>
      <c r="H107" s="127"/>
      <c r="I107" s="142">
        <f>Y79</f>
        <v>0</v>
      </c>
      <c r="K107" s="309" t="s">
        <v>238</v>
      </c>
      <c r="L107" s="127"/>
      <c r="M107" s="127"/>
      <c r="N107" s="142">
        <f>IF(N106&lt;=0,0,N101-N106)</f>
        <v>0</v>
      </c>
      <c r="P107" s="28" t="s">
        <v>180</v>
      </c>
      <c r="Q107" s="28"/>
      <c r="R107" s="28"/>
      <c r="S107" s="276">
        <v>12</v>
      </c>
      <c r="T107" s="231" t="s">
        <v>136</v>
      </c>
      <c r="U107" s="303"/>
    </row>
    <row r="108" spans="1:51">
      <c r="A108" s="28" t="s">
        <v>198</v>
      </c>
      <c r="D108" s="317" t="e">
        <f>SUM(D106/D107)</f>
        <v>#DIV/0!</v>
      </c>
      <c r="E108" s="318" t="e">
        <f>IF(D108&gt;=M125,L116,L117)</f>
        <v>#DIV/0!</v>
      </c>
      <c r="F108" s="28" t="s">
        <v>198</v>
      </c>
      <c r="G108" s="127"/>
      <c r="H108" s="127"/>
      <c r="I108" s="317" t="e">
        <f>SUM(I106/I107)</f>
        <v>#DIV/0!</v>
      </c>
      <c r="J108" s="143" t="e">
        <f>IF(I108&gt;=M125,L116,L117)</f>
        <v>#DIV/0!</v>
      </c>
      <c r="K108" s="302"/>
      <c r="P108" s="28" t="s">
        <v>181</v>
      </c>
      <c r="Q108" s="28"/>
      <c r="R108" s="28"/>
      <c r="S108" s="304">
        <v>0</v>
      </c>
      <c r="T108" s="305" t="s">
        <v>136</v>
      </c>
      <c r="U108" s="303"/>
    </row>
    <row r="109" spans="1:51">
      <c r="K109" s="302"/>
      <c r="P109" s="28" t="s">
        <v>183</v>
      </c>
      <c r="Q109" s="28"/>
      <c r="R109" s="28"/>
      <c r="S109" s="304">
        <v>0</v>
      </c>
      <c r="T109" s="305" t="s">
        <v>136</v>
      </c>
      <c r="U109" s="303"/>
      <c r="AW109" s="28" t="s">
        <v>32</v>
      </c>
    </row>
    <row r="110" spans="1:51">
      <c r="A110" s="16" t="s">
        <v>360</v>
      </c>
      <c r="K110" s="302"/>
      <c r="P110" s="16" t="s">
        <v>184</v>
      </c>
      <c r="Q110" s="28"/>
      <c r="R110" s="28"/>
      <c r="S110" s="316">
        <f>S99+SUM(S100/12*10)+SUM(S101:S109)</f>
        <v>12</v>
      </c>
      <c r="T110" s="319"/>
      <c r="U110" s="303"/>
      <c r="AB110" s="26" t="s">
        <v>32</v>
      </c>
      <c r="AC110" s="26"/>
      <c r="AD110" s="26"/>
      <c r="AE110" s="26"/>
    </row>
    <row r="111" spans="1:51">
      <c r="A111" s="236"/>
      <c r="E111" s="244"/>
      <c r="F111" s="244"/>
      <c r="G111" s="244"/>
      <c r="H111" s="244"/>
      <c r="I111" s="244"/>
      <c r="K111" s="302"/>
      <c r="P111" s="126"/>
      <c r="Q111" s="126"/>
      <c r="R111" s="126"/>
      <c r="S111" s="127"/>
      <c r="T111" s="127"/>
      <c r="U111" s="303"/>
    </row>
    <row r="112" spans="1:51">
      <c r="D112" s="314" t="s">
        <v>521</v>
      </c>
      <c r="F112" s="127"/>
      <c r="G112" s="127"/>
      <c r="H112" s="127"/>
      <c r="I112" s="315" t="str">
        <f>C67</f>
        <v>CAPITAL REPAYMENT</v>
      </c>
      <c r="K112" s="320"/>
      <c r="L112" s="321"/>
      <c r="M112" s="321"/>
      <c r="N112" s="321"/>
      <c r="O112" s="321"/>
      <c r="P112" s="321"/>
      <c r="Q112" s="321"/>
      <c r="R112" s="321"/>
      <c r="S112" s="321"/>
      <c r="T112" s="321"/>
      <c r="U112" s="322"/>
    </row>
    <row r="113" spans="1:48">
      <c r="A113" s="207" t="str">
        <f>IF($I$97="Yes","HOLIDAY LET - AVERAGE GROSS MONTHLY RENTAL",IF($I$97="No","GROSS MONTHLY RENTAL INCOME"))</f>
        <v>GROSS MONTHLY RENTAL INCOME</v>
      </c>
      <c r="D113" s="323">
        <f>IF($I$97="Yes",$D$99/12,IF($I$97="No",$D$99))</f>
        <v>0</v>
      </c>
      <c r="F113" s="207" t="str">
        <f>IF($I$97="Yes","HOLIDAY LET - AVERAGE GROSS MONTHLY RENTAL",IF($I$97="No","GROSS MONTHLY RENTAL INCOME"))</f>
        <v>GROSS MONTHLY RENTAL INCOME</v>
      </c>
      <c r="G113" s="127"/>
      <c r="H113" s="127"/>
      <c r="I113" s="323">
        <f>IF($I$97="Yes",$D$99/12,IF($I$97="No",$D$99))</f>
        <v>0</v>
      </c>
    </row>
    <row r="114" spans="1:48">
      <c r="A114" s="207" t="s">
        <v>378</v>
      </c>
      <c r="D114" s="149">
        <f>D93</f>
        <v>-1338.479999999897</v>
      </c>
      <c r="F114" s="207" t="s">
        <v>378</v>
      </c>
      <c r="G114" s="127"/>
      <c r="H114" s="127"/>
      <c r="I114" s="323">
        <f>D93</f>
        <v>-1338.479999999897</v>
      </c>
      <c r="L114" s="111" t="s">
        <v>220</v>
      </c>
      <c r="AV114" s="295"/>
    </row>
    <row r="115" spans="1:48">
      <c r="A115" s="28" t="s">
        <v>197</v>
      </c>
      <c r="D115" s="142">
        <f>AI79</f>
        <v>0</v>
      </c>
      <c r="F115" s="29" t="str">
        <f>"Monthly CMS on "&amp; $C$67&amp; " at stress rate"</f>
        <v>Monthly CMS on CAPITAL REPAYMENT at stress rate</v>
      </c>
      <c r="G115" s="127"/>
      <c r="H115" s="127"/>
      <c r="I115" s="142">
        <f>Y79</f>
        <v>0</v>
      </c>
      <c r="K115" s="144"/>
      <c r="N115" s="223"/>
      <c r="O115" s="223"/>
      <c r="P115" s="223"/>
    </row>
    <row r="116" spans="1:48">
      <c r="A116" s="28" t="s">
        <v>189</v>
      </c>
      <c r="D116" s="317" t="e">
        <f>SUM(D113+D114)/D115</f>
        <v>#DIV/0!</v>
      </c>
      <c r="E116" s="143" t="e">
        <f>IF(D116&gt;=M125,L116,L117)</f>
        <v>#DIV/0!</v>
      </c>
      <c r="F116" s="28" t="s">
        <v>189</v>
      </c>
      <c r="I116" s="317" t="e">
        <f>SUM(I113+I114)/I115</f>
        <v>#DIV/0!</v>
      </c>
      <c r="J116" s="143" t="e">
        <f>IF(I116&gt;=M125,L116,L117)</f>
        <v>#DIV/0!</v>
      </c>
      <c r="K116" s="144"/>
      <c r="L116" s="26" t="s">
        <v>221</v>
      </c>
      <c r="N116" s="223"/>
      <c r="O116" s="223"/>
      <c r="P116" s="223"/>
    </row>
    <row r="117" spans="1:48">
      <c r="K117" s="144"/>
      <c r="L117" s="26" t="s">
        <v>222</v>
      </c>
      <c r="N117" s="223"/>
      <c r="O117" s="223"/>
      <c r="P117" s="223"/>
    </row>
    <row r="118" spans="1:48">
      <c r="F118" s="207" t="s">
        <v>185</v>
      </c>
      <c r="G118" s="244"/>
      <c r="H118" s="127"/>
      <c r="I118" s="392" t="s">
        <v>137</v>
      </c>
      <c r="K118" s="144"/>
      <c r="N118" s="223"/>
      <c r="O118" s="223"/>
      <c r="P118" s="223"/>
    </row>
    <row r="119" spans="1:48">
      <c r="E119" s="244"/>
      <c r="F119" s="244"/>
      <c r="G119" s="244"/>
      <c r="H119" s="244"/>
      <c r="I119" s="244"/>
      <c r="K119" s="144"/>
      <c r="L119" s="111" t="s">
        <v>351</v>
      </c>
      <c r="M119" s="26"/>
      <c r="N119" s="26"/>
      <c r="O119" s="26"/>
      <c r="P119" s="223"/>
    </row>
    <row r="120" spans="1:48">
      <c r="E120" s="244"/>
      <c r="F120" s="244"/>
      <c r="G120" s="244"/>
      <c r="H120" s="244"/>
      <c r="I120" s="244"/>
      <c r="K120" s="144"/>
      <c r="L120" s="26"/>
      <c r="M120" s="26"/>
      <c r="N120" s="26"/>
      <c r="O120" s="26"/>
      <c r="P120" s="223"/>
    </row>
    <row r="121" spans="1:48">
      <c r="K121" s="144"/>
      <c r="L121" s="26" t="s">
        <v>352</v>
      </c>
      <c r="M121" s="324">
        <v>1.3</v>
      </c>
      <c r="N121" s="26"/>
      <c r="O121" s="24" t="s">
        <v>447</v>
      </c>
      <c r="P121" s="223"/>
    </row>
    <row r="122" spans="1:48">
      <c r="A122" s="28" t="str">
        <f>IF(I97="No","Maximum loan available based on rental achieveable",IF(I97="Yes","Maximum loan available based on holiday rental achieveable"))</f>
        <v>Maximum loan available based on rental achieveable</v>
      </c>
      <c r="D122" s="149" t="e">
        <f>IF(I97="No",O124,IF(I97="Yes",O127))</f>
        <v>#DIV/0!</v>
      </c>
      <c r="K122" s="144"/>
      <c r="L122" s="26" t="s">
        <v>353</v>
      </c>
      <c r="M122" s="324">
        <v>1.65</v>
      </c>
      <c r="N122" s="26"/>
      <c r="O122" s="26"/>
    </row>
    <row r="123" spans="1:48">
      <c r="K123" s="144"/>
      <c r="L123" s="26" t="s">
        <v>354</v>
      </c>
      <c r="M123" s="324">
        <v>1.65</v>
      </c>
      <c r="N123" s="26"/>
      <c r="O123" s="24" t="s">
        <v>448</v>
      </c>
      <c r="S123" s="401" t="s">
        <v>563</v>
      </c>
    </row>
    <row r="124" spans="1:48">
      <c r="K124" s="144"/>
      <c r="L124" s="26"/>
      <c r="M124" s="26"/>
      <c r="N124" s="26"/>
      <c r="O124" s="325" t="e">
        <f>SUM(D99/M125)*12/S124</f>
        <v>#DIV/0!</v>
      </c>
      <c r="S124" s="400" t="str">
        <f>IF(X71="",X72,X71)</f>
        <v/>
      </c>
      <c r="AV124" s="26" t="s">
        <v>32</v>
      </c>
    </row>
    <row r="125" spans="1:48">
      <c r="K125" s="144"/>
      <c r="L125" s="26" t="s">
        <v>355</v>
      </c>
      <c r="M125" s="326" t="b">
        <f>IF(D101=20%,M121,IF(D101=40%,M122,IF(D101=45%,M123)))</f>
        <v>0</v>
      </c>
      <c r="N125" s="26"/>
      <c r="O125" s="26"/>
    </row>
    <row r="126" spans="1:48">
      <c r="K126" s="144"/>
      <c r="O126" s="24" t="s">
        <v>449</v>
      </c>
    </row>
    <row r="127" spans="1:48">
      <c r="K127" s="144"/>
      <c r="O127" s="136" t="e">
        <f>SUM(D99/12)/M125*12/S124</f>
        <v>#DIV/0!</v>
      </c>
    </row>
    <row r="128" spans="1:48">
      <c r="K128" s="144"/>
      <c r="L128" s="24" t="s">
        <v>379</v>
      </c>
    </row>
    <row r="129" spans="1:20">
      <c r="K129" s="144"/>
      <c r="L129" s="26" t="s">
        <v>380</v>
      </c>
      <c r="M129" s="27">
        <v>0.2</v>
      </c>
    </row>
    <row r="130" spans="1:20">
      <c r="G130" s="127"/>
      <c r="H130" s="127"/>
      <c r="K130" s="144"/>
      <c r="L130" s="26" t="s">
        <v>381</v>
      </c>
      <c r="M130" s="27">
        <v>0.4</v>
      </c>
    </row>
    <row r="131" spans="1:20">
      <c r="A131" s="127" t="s">
        <v>32</v>
      </c>
      <c r="F131" s="28"/>
      <c r="G131" s="127"/>
      <c r="H131" s="127"/>
      <c r="I131" s="127" t="s">
        <v>32</v>
      </c>
      <c r="K131" s="144"/>
      <c r="L131" s="26" t="s">
        <v>382</v>
      </c>
      <c r="M131" s="27">
        <v>0.45</v>
      </c>
    </row>
    <row r="132" spans="1:20" ht="13.8" thickBot="1">
      <c r="K132" s="144"/>
      <c r="L132" s="26" t="s">
        <v>384</v>
      </c>
      <c r="M132" s="327">
        <f>IF(I99=L129,M129,IF(I99=L130,M130,IF(I99=L131,M131)))</f>
        <v>0.2</v>
      </c>
      <c r="Q132" s="111" t="s">
        <v>546</v>
      </c>
    </row>
    <row r="133" spans="1:20" ht="13.8" thickTop="1">
      <c r="J133" s="244"/>
      <c r="K133" s="144"/>
    </row>
    <row r="134" spans="1:20" ht="13.8" thickBot="1">
      <c r="J134" s="244"/>
      <c r="K134" s="144"/>
      <c r="Q134" s="28" t="s">
        <v>211</v>
      </c>
      <c r="R134" s="127"/>
      <c r="S134" s="127"/>
      <c r="T134" s="376" t="s">
        <v>136</v>
      </c>
    </row>
    <row r="135" spans="1:20">
      <c r="F135" s="207"/>
      <c r="I135" s="204"/>
      <c r="J135" s="244"/>
      <c r="K135" s="144"/>
      <c r="L135" s="500" t="s">
        <v>387</v>
      </c>
      <c r="M135" s="501"/>
      <c r="N135" s="501"/>
      <c r="O135" s="502"/>
      <c r="Q135" s="127"/>
      <c r="R135" s="127"/>
      <c r="S135" s="127"/>
      <c r="T135" s="129"/>
    </row>
    <row r="136" spans="1:20">
      <c r="J136" s="244"/>
      <c r="K136" s="144"/>
      <c r="L136" s="328" t="s">
        <v>388</v>
      </c>
      <c r="M136" s="127"/>
      <c r="N136" s="16" t="s">
        <v>389</v>
      </c>
      <c r="O136" s="329" t="s">
        <v>390</v>
      </c>
      <c r="Q136" s="16" t="str">
        <f>IF(T134="No","ASSESS AS SINGLE BUY-TO-LET","PROCEED TO PORTFOLIO LANDLORD TAB")</f>
        <v>PROCEED TO PORTFOLIO LANDLORD TAB</v>
      </c>
      <c r="R136" s="127"/>
      <c r="S136" s="127"/>
      <c r="T136" s="129"/>
    </row>
    <row r="137" spans="1:20">
      <c r="E137" s="330"/>
      <c r="F137" s="207"/>
      <c r="G137" s="330"/>
      <c r="H137" s="330"/>
      <c r="I137" s="204"/>
      <c r="J137" s="244"/>
      <c r="K137" s="144"/>
      <c r="L137" s="331" t="s">
        <v>96</v>
      </c>
      <c r="M137" s="127"/>
      <c r="N137" s="127" t="s">
        <v>391</v>
      </c>
      <c r="O137" s="332">
        <v>0</v>
      </c>
    </row>
    <row r="138" spans="1:20">
      <c r="K138" s="144"/>
      <c r="L138" s="333" t="s">
        <v>380</v>
      </c>
      <c r="M138" s="127"/>
      <c r="N138" s="28" t="s">
        <v>392</v>
      </c>
      <c r="O138" s="332">
        <v>0.2</v>
      </c>
    </row>
    <row r="139" spans="1:20">
      <c r="K139" s="144"/>
      <c r="L139" s="333" t="s">
        <v>381</v>
      </c>
      <c r="M139" s="127"/>
      <c r="N139" s="28" t="s">
        <v>393</v>
      </c>
      <c r="O139" s="332">
        <v>0.4</v>
      </c>
    </row>
    <row r="140" spans="1:20" ht="13.8" thickBot="1">
      <c r="K140" s="144"/>
      <c r="L140" s="334" t="s">
        <v>382</v>
      </c>
      <c r="M140" s="335"/>
      <c r="N140" s="336" t="s">
        <v>394</v>
      </c>
      <c r="O140" s="337">
        <v>0.45</v>
      </c>
    </row>
    <row r="141" spans="1:20">
      <c r="K141" s="144"/>
    </row>
    <row r="142" spans="1:20">
      <c r="K142" s="144"/>
    </row>
    <row r="143" spans="1:20">
      <c r="D143" s="127"/>
      <c r="K143" s="144"/>
    </row>
    <row r="144" spans="1:20">
      <c r="D144" s="127"/>
      <c r="K144" s="144"/>
    </row>
    <row r="145" spans="4:21">
      <c r="D145" s="127"/>
      <c r="K145" s="144"/>
    </row>
    <row r="146" spans="4:21">
      <c r="D146" s="127"/>
      <c r="K146" s="144"/>
    </row>
    <row r="147" spans="4:21">
      <c r="D147" s="127"/>
      <c r="K147" s="144"/>
    </row>
    <row r="148" spans="4:21">
      <c r="D148" s="127"/>
      <c r="K148" s="144"/>
    </row>
    <row r="149" spans="4:21">
      <c r="D149" s="127"/>
      <c r="K149" s="144"/>
    </row>
    <row r="150" spans="4:21">
      <c r="D150" s="127"/>
      <c r="F150" s="127"/>
      <c r="G150" s="127"/>
      <c r="H150" s="127"/>
      <c r="K150" s="144"/>
    </row>
    <row r="151" spans="4:21">
      <c r="D151" s="127"/>
      <c r="F151" s="127"/>
      <c r="G151" s="127"/>
      <c r="H151" s="127"/>
      <c r="K151" s="144"/>
    </row>
    <row r="152" spans="4:21">
      <c r="D152" s="127"/>
      <c r="K152" s="144"/>
    </row>
    <row r="153" spans="4:21">
      <c r="F153" s="138"/>
      <c r="G153" s="138"/>
      <c r="H153" s="138"/>
      <c r="I153" s="138"/>
      <c r="K153" s="144"/>
    </row>
    <row r="154" spans="4:21" ht="14.4">
      <c r="D154" s="127"/>
      <c r="J154" s="330"/>
      <c r="K154" s="155" t="s">
        <v>65</v>
      </c>
      <c r="L154" s="330" t="s">
        <v>114</v>
      </c>
      <c r="M154" s="338" t="s">
        <v>3</v>
      </c>
    </row>
    <row r="155" spans="4:21">
      <c r="D155" s="127"/>
      <c r="K155" s="144"/>
      <c r="N155" s="127"/>
      <c r="O155" s="127"/>
      <c r="P155" s="127"/>
      <c r="Q155" s="127"/>
      <c r="R155" s="127"/>
      <c r="S155" s="127"/>
      <c r="T155" s="127"/>
      <c r="U155" s="127"/>
    </row>
    <row r="156" spans="4:21">
      <c r="D156" s="127"/>
      <c r="K156" s="144"/>
      <c r="N156" s="127"/>
      <c r="O156" s="127"/>
      <c r="P156" s="127"/>
      <c r="Q156" s="127"/>
      <c r="R156" s="127"/>
      <c r="S156" s="127"/>
      <c r="T156" s="127"/>
      <c r="U156" s="127"/>
    </row>
    <row r="157" spans="4:21">
      <c r="D157" s="127"/>
      <c r="K157" s="144"/>
      <c r="N157" s="127"/>
      <c r="O157" s="127"/>
      <c r="P157" s="127"/>
      <c r="Q157" s="127"/>
      <c r="R157" s="127"/>
      <c r="S157" s="127"/>
      <c r="T157" s="127"/>
      <c r="U157" s="127"/>
    </row>
    <row r="158" spans="4:21">
      <c r="D158" s="127"/>
      <c r="K158" s="144"/>
      <c r="N158" s="127"/>
      <c r="O158" s="127"/>
      <c r="P158" s="127"/>
      <c r="Q158" s="127"/>
      <c r="R158" s="127"/>
      <c r="S158" s="127"/>
      <c r="T158" s="127"/>
      <c r="U158" s="127"/>
    </row>
    <row r="159" spans="4:21">
      <c r="D159" s="127"/>
      <c r="K159" s="144"/>
      <c r="N159" s="127"/>
      <c r="O159" s="127"/>
      <c r="P159" s="127"/>
      <c r="Q159" s="127"/>
      <c r="R159" s="127"/>
      <c r="S159" s="127"/>
      <c r="T159" s="127"/>
      <c r="U159" s="127"/>
    </row>
    <row r="160" spans="4:21">
      <c r="D160" s="127"/>
      <c r="K160" s="144"/>
      <c r="N160" s="127"/>
      <c r="O160" s="127"/>
      <c r="P160" s="127"/>
      <c r="Q160" s="127"/>
      <c r="R160" s="127"/>
      <c r="S160" s="127"/>
      <c r="T160" s="127"/>
      <c r="U160" s="127"/>
    </row>
    <row r="161" spans="4:21">
      <c r="D161" s="127"/>
      <c r="F161" s="127"/>
      <c r="G161" s="127"/>
      <c r="H161" s="127"/>
      <c r="K161" s="144"/>
      <c r="L161" s="127"/>
      <c r="M161" s="127"/>
      <c r="N161" s="127"/>
      <c r="O161" s="127"/>
      <c r="P161" s="127"/>
      <c r="Q161" s="127"/>
      <c r="R161" s="127"/>
      <c r="S161" s="127"/>
      <c r="T161" s="127"/>
      <c r="U161" s="127"/>
    </row>
    <row r="162" spans="4:21">
      <c r="D162" s="127"/>
      <c r="F162" s="127"/>
      <c r="G162" s="127"/>
      <c r="H162" s="127"/>
      <c r="K162" s="144"/>
      <c r="L162" s="127"/>
      <c r="M162" s="127"/>
      <c r="N162" s="127"/>
      <c r="O162" s="127"/>
      <c r="P162" s="127"/>
      <c r="Q162" s="127"/>
      <c r="R162" s="127"/>
      <c r="S162" s="127"/>
      <c r="T162" s="127"/>
      <c r="U162" s="127"/>
    </row>
    <row r="163" spans="4:21">
      <c r="D163" s="127"/>
      <c r="F163" s="127"/>
      <c r="G163" s="127"/>
      <c r="H163" s="127"/>
      <c r="K163" s="144"/>
      <c r="L163" s="127"/>
      <c r="M163" s="127"/>
      <c r="N163" s="127"/>
      <c r="O163" s="127"/>
      <c r="P163" s="127"/>
      <c r="Q163" s="127"/>
      <c r="R163" s="127"/>
      <c r="S163" s="127"/>
      <c r="T163" s="127"/>
      <c r="U163" s="127"/>
    </row>
    <row r="164" spans="4:21">
      <c r="D164" s="127"/>
      <c r="F164" s="127"/>
      <c r="G164" s="127"/>
      <c r="H164" s="127"/>
      <c r="K164" s="144"/>
      <c r="L164" s="127"/>
      <c r="M164" s="127"/>
      <c r="N164" s="127"/>
      <c r="O164" s="127"/>
      <c r="P164" s="127"/>
      <c r="Q164" s="127"/>
      <c r="R164" s="127"/>
      <c r="S164" s="127"/>
      <c r="T164" s="127"/>
      <c r="U164" s="127"/>
    </row>
    <row r="165" spans="4:21">
      <c r="D165" s="127"/>
      <c r="F165" s="127"/>
      <c r="G165" s="127"/>
      <c r="H165" s="127"/>
      <c r="K165" s="144"/>
      <c r="L165" s="127"/>
      <c r="M165" s="127"/>
      <c r="N165" s="127"/>
      <c r="O165" s="127"/>
      <c r="P165" s="127"/>
      <c r="Q165" s="127"/>
      <c r="R165" s="127"/>
      <c r="S165" s="127"/>
      <c r="T165" s="127"/>
      <c r="U165" s="127"/>
    </row>
    <row r="166" spans="4:21">
      <c r="D166" s="127"/>
      <c r="F166" s="127"/>
      <c r="G166" s="127"/>
      <c r="H166" s="127"/>
      <c r="K166" s="144"/>
      <c r="L166" s="127"/>
      <c r="M166" s="127"/>
      <c r="N166" s="127"/>
      <c r="O166" s="127"/>
      <c r="P166" s="127"/>
      <c r="Q166" s="127"/>
      <c r="R166" s="127"/>
      <c r="S166" s="127"/>
      <c r="T166" s="127"/>
      <c r="U166" s="127"/>
    </row>
    <row r="167" spans="4:21">
      <c r="D167" s="127"/>
      <c r="F167" s="127"/>
      <c r="G167" s="127"/>
      <c r="H167" s="127"/>
      <c r="K167" s="144"/>
      <c r="L167" s="127"/>
      <c r="M167" s="127"/>
      <c r="N167" s="127"/>
      <c r="O167" s="127"/>
      <c r="P167" s="127"/>
      <c r="Q167" s="127"/>
      <c r="R167" s="127"/>
      <c r="S167" s="127"/>
      <c r="T167" s="127"/>
      <c r="U167" s="127"/>
    </row>
    <row r="168" spans="4:21">
      <c r="D168" s="127"/>
      <c r="F168" s="127"/>
      <c r="G168" s="127"/>
      <c r="H168" s="127"/>
      <c r="K168" s="144"/>
      <c r="L168" s="127"/>
      <c r="M168" s="127"/>
      <c r="N168" s="127"/>
      <c r="O168" s="127"/>
      <c r="P168" s="127"/>
      <c r="Q168" s="127"/>
      <c r="R168" s="127"/>
      <c r="S168" s="127"/>
      <c r="T168" s="127"/>
      <c r="U168" s="127"/>
    </row>
    <row r="169" spans="4:21">
      <c r="D169" s="127"/>
      <c r="F169" s="127"/>
      <c r="G169" s="127"/>
      <c r="H169" s="127"/>
      <c r="K169" s="144"/>
      <c r="L169" s="127"/>
      <c r="M169" s="127"/>
      <c r="N169" s="127"/>
      <c r="O169" s="127"/>
      <c r="P169" s="127"/>
      <c r="Q169" s="127"/>
      <c r="R169" s="127"/>
      <c r="S169" s="127"/>
      <c r="T169" s="127"/>
      <c r="U169" s="127"/>
    </row>
    <row r="170" spans="4:21">
      <c r="D170" s="127"/>
      <c r="F170" s="127"/>
      <c r="G170" s="127"/>
      <c r="H170" s="127"/>
      <c r="K170" s="144"/>
      <c r="L170" s="127"/>
      <c r="M170" s="127"/>
      <c r="N170" s="127"/>
      <c r="O170" s="127"/>
      <c r="P170" s="127"/>
      <c r="Q170" s="127"/>
      <c r="R170" s="127"/>
      <c r="S170" s="127"/>
      <c r="T170" s="127"/>
      <c r="U170" s="127"/>
    </row>
    <row r="171" spans="4:21">
      <c r="D171" s="28" t="s">
        <v>32</v>
      </c>
      <c r="F171" s="127"/>
      <c r="G171" s="127"/>
      <c r="H171" s="127"/>
      <c r="K171" s="144"/>
      <c r="L171" s="127"/>
      <c r="M171" s="127"/>
      <c r="N171" s="127"/>
      <c r="O171" s="127"/>
      <c r="P171" s="127"/>
      <c r="Q171" s="127"/>
      <c r="R171" s="127"/>
      <c r="S171" s="127"/>
      <c r="T171" s="127"/>
      <c r="U171" s="127"/>
    </row>
    <row r="172" spans="4:21">
      <c r="D172" s="127"/>
      <c r="F172" s="127"/>
      <c r="G172" s="127"/>
      <c r="H172" s="127"/>
      <c r="K172" s="144"/>
      <c r="L172" s="127"/>
      <c r="M172" s="127"/>
      <c r="N172" s="127"/>
      <c r="O172" s="127"/>
      <c r="P172" s="127"/>
      <c r="Q172" s="127"/>
      <c r="R172" s="127"/>
      <c r="S172" s="127"/>
      <c r="T172" s="127"/>
      <c r="U172" s="127"/>
    </row>
    <row r="173" spans="4:21">
      <c r="D173" s="127"/>
      <c r="F173" s="127"/>
      <c r="G173" s="127"/>
      <c r="H173" s="127"/>
      <c r="K173" s="144"/>
      <c r="L173" s="127"/>
      <c r="M173" s="127"/>
      <c r="N173" s="127"/>
      <c r="O173" s="127"/>
      <c r="P173" s="127"/>
      <c r="Q173" s="127"/>
      <c r="R173" s="127"/>
      <c r="S173" s="127"/>
      <c r="T173" s="127"/>
      <c r="U173" s="127"/>
    </row>
    <row r="174" spans="4:21">
      <c r="D174" s="127"/>
      <c r="F174" s="127"/>
      <c r="G174" s="127"/>
      <c r="H174" s="127"/>
      <c r="K174" s="144"/>
      <c r="L174" s="127"/>
      <c r="M174" s="127"/>
      <c r="N174" s="127"/>
      <c r="O174" s="127"/>
      <c r="P174" s="127"/>
      <c r="Q174" s="127"/>
      <c r="R174" s="127"/>
      <c r="S174" s="127"/>
      <c r="T174" s="127"/>
      <c r="U174" s="127"/>
    </row>
    <row r="175" spans="4:21">
      <c r="D175" s="127"/>
      <c r="F175" s="127"/>
      <c r="G175" s="127"/>
      <c r="H175" s="127"/>
      <c r="K175" s="144"/>
      <c r="L175" s="127"/>
      <c r="M175" s="127"/>
      <c r="N175" s="127"/>
      <c r="O175" s="127"/>
      <c r="P175" s="127"/>
      <c r="Q175" s="127"/>
      <c r="R175" s="127"/>
      <c r="S175" s="127"/>
      <c r="T175" s="127"/>
      <c r="U175" s="127"/>
    </row>
    <row r="176" spans="4:21">
      <c r="D176" s="127"/>
      <c r="F176" s="127"/>
      <c r="G176" s="127"/>
      <c r="H176" s="127"/>
      <c r="K176" s="144"/>
      <c r="L176" s="127"/>
      <c r="M176" s="127"/>
      <c r="N176" s="127"/>
      <c r="O176" s="127"/>
      <c r="P176" s="127"/>
      <c r="Q176" s="127"/>
      <c r="R176" s="127"/>
      <c r="S176" s="127"/>
      <c r="T176" s="127"/>
      <c r="U176" s="127"/>
    </row>
    <row r="177" spans="4:21">
      <c r="D177" s="127"/>
      <c r="F177" s="127"/>
      <c r="G177" s="127"/>
      <c r="H177" s="127"/>
      <c r="K177" s="144"/>
      <c r="L177" s="127"/>
      <c r="M177" s="127"/>
      <c r="N177" s="127"/>
      <c r="O177" s="127"/>
      <c r="P177" s="127"/>
      <c r="Q177" s="127"/>
      <c r="R177" s="127"/>
      <c r="S177" s="127"/>
      <c r="T177" s="127"/>
      <c r="U177" s="127"/>
    </row>
    <row r="178" spans="4:21">
      <c r="D178" s="127"/>
      <c r="F178" s="127"/>
      <c r="G178" s="127"/>
      <c r="H178" s="127"/>
      <c r="K178" s="144"/>
      <c r="L178" s="127"/>
      <c r="M178" s="127"/>
      <c r="N178" s="127"/>
      <c r="O178" s="127"/>
      <c r="P178" s="127"/>
      <c r="Q178" s="127"/>
      <c r="R178" s="127"/>
      <c r="S178" s="127"/>
      <c r="T178" s="127"/>
      <c r="U178" s="127"/>
    </row>
    <row r="179" spans="4:21">
      <c r="D179" s="127"/>
      <c r="F179" s="127"/>
      <c r="G179" s="127"/>
      <c r="H179" s="127"/>
      <c r="K179" s="144"/>
      <c r="L179" s="127"/>
      <c r="M179" s="127"/>
      <c r="N179" s="127"/>
      <c r="O179" s="127"/>
      <c r="P179" s="127"/>
      <c r="Q179" s="127"/>
      <c r="R179" s="127"/>
      <c r="S179" s="127"/>
      <c r="T179" s="127"/>
      <c r="U179" s="127"/>
    </row>
    <row r="180" spans="4:21">
      <c r="D180" s="127"/>
      <c r="F180" s="127"/>
      <c r="G180" s="127"/>
      <c r="H180" s="127"/>
      <c r="K180" s="144"/>
      <c r="L180" s="127"/>
      <c r="M180" s="127"/>
      <c r="N180" s="127"/>
      <c r="O180" s="127"/>
      <c r="P180" s="127"/>
      <c r="Q180" s="127"/>
      <c r="R180" s="127"/>
      <c r="S180" s="127"/>
      <c r="T180" s="127"/>
      <c r="U180" s="127"/>
    </row>
    <row r="181" spans="4:21">
      <c r="D181" s="127"/>
      <c r="F181" s="127"/>
      <c r="G181" s="127"/>
      <c r="H181" s="127"/>
      <c r="K181" s="144"/>
      <c r="L181" s="127"/>
      <c r="M181" s="127"/>
      <c r="N181" s="127"/>
      <c r="O181" s="127"/>
      <c r="P181" s="127"/>
      <c r="Q181" s="127"/>
      <c r="R181" s="127"/>
      <c r="S181" s="127"/>
      <c r="T181" s="127"/>
      <c r="U181" s="127"/>
    </row>
    <row r="182" spans="4:21">
      <c r="D182" s="127"/>
      <c r="F182" s="127"/>
      <c r="G182" s="127"/>
      <c r="H182" s="127"/>
      <c r="K182" s="144"/>
      <c r="L182" s="127"/>
      <c r="M182" s="127"/>
      <c r="N182" s="127"/>
      <c r="O182" s="127"/>
      <c r="P182" s="127"/>
      <c r="Q182" s="127"/>
      <c r="R182" s="127"/>
      <c r="S182" s="127"/>
      <c r="T182" s="127"/>
      <c r="U182" s="127"/>
    </row>
    <row r="183" spans="4:21">
      <c r="D183" s="127"/>
      <c r="F183" s="127"/>
      <c r="G183" s="127"/>
      <c r="H183" s="127"/>
      <c r="K183" s="144"/>
      <c r="L183" s="127"/>
      <c r="M183" s="127"/>
      <c r="N183" s="127"/>
      <c r="O183" s="127"/>
      <c r="P183" s="127"/>
      <c r="Q183" s="127"/>
      <c r="R183" s="127"/>
      <c r="S183" s="127"/>
      <c r="T183" s="127"/>
      <c r="U183" s="127"/>
    </row>
    <row r="184" spans="4:21">
      <c r="D184" s="127"/>
      <c r="F184" s="127"/>
      <c r="G184" s="127"/>
      <c r="H184" s="127"/>
      <c r="K184" s="144"/>
      <c r="L184" s="127"/>
      <c r="M184" s="127"/>
      <c r="N184" s="127"/>
      <c r="O184" s="127"/>
      <c r="P184" s="127"/>
      <c r="Q184" s="127"/>
      <c r="R184" s="127"/>
      <c r="S184" s="127"/>
      <c r="T184" s="127"/>
      <c r="U184" s="127"/>
    </row>
    <row r="185" spans="4:21">
      <c r="D185" s="127"/>
      <c r="F185" s="127"/>
      <c r="G185" s="127"/>
      <c r="H185" s="127"/>
      <c r="K185" s="144"/>
      <c r="L185" s="127"/>
      <c r="M185" s="127"/>
      <c r="N185" s="127"/>
      <c r="O185" s="127"/>
      <c r="P185" s="127"/>
      <c r="Q185" s="127"/>
      <c r="R185" s="127"/>
      <c r="S185" s="127"/>
      <c r="T185" s="127"/>
      <c r="U185" s="127"/>
    </row>
    <row r="186" spans="4:21">
      <c r="D186" s="127"/>
      <c r="F186" s="127"/>
      <c r="G186" s="127"/>
      <c r="H186" s="127"/>
      <c r="K186" s="144"/>
      <c r="L186" s="127"/>
      <c r="M186" s="127"/>
      <c r="N186" s="127"/>
      <c r="O186" s="127"/>
      <c r="P186" s="127"/>
      <c r="Q186" s="127"/>
      <c r="R186" s="127"/>
      <c r="S186" s="127"/>
      <c r="T186" s="127"/>
      <c r="U186" s="127"/>
    </row>
    <row r="187" spans="4:21">
      <c r="D187" s="127"/>
      <c r="F187" s="127"/>
      <c r="G187" s="127"/>
      <c r="H187" s="127"/>
      <c r="K187" s="144"/>
      <c r="L187" s="127"/>
      <c r="M187" s="127"/>
      <c r="N187" s="127"/>
      <c r="O187" s="127"/>
      <c r="P187" s="127"/>
      <c r="Q187" s="127"/>
      <c r="R187" s="127"/>
      <c r="S187" s="127"/>
      <c r="T187" s="127"/>
      <c r="U187" s="127"/>
    </row>
    <row r="188" spans="4:21">
      <c r="D188" s="127"/>
      <c r="F188" s="127"/>
      <c r="G188" s="127"/>
      <c r="H188" s="127"/>
      <c r="K188" s="144"/>
      <c r="L188" s="127"/>
      <c r="M188" s="127"/>
      <c r="N188" s="127"/>
      <c r="O188" s="127"/>
      <c r="P188" s="127"/>
      <c r="Q188" s="127"/>
      <c r="R188" s="127"/>
      <c r="S188" s="127"/>
      <c r="T188" s="127"/>
      <c r="U188" s="127"/>
    </row>
    <row r="189" spans="4:21">
      <c r="D189" s="127"/>
      <c r="F189" s="127"/>
      <c r="G189" s="127"/>
      <c r="H189" s="127"/>
      <c r="K189" s="144"/>
      <c r="L189" s="127"/>
      <c r="M189" s="127"/>
      <c r="N189" s="127"/>
      <c r="O189" s="127"/>
      <c r="P189" s="127"/>
      <c r="Q189" s="127"/>
      <c r="R189" s="127"/>
      <c r="S189" s="127"/>
      <c r="T189" s="127"/>
      <c r="U189" s="127"/>
    </row>
    <row r="190" spans="4:21">
      <c r="D190" s="127"/>
      <c r="F190" s="127"/>
      <c r="G190" s="127"/>
      <c r="H190" s="127"/>
      <c r="K190" s="144"/>
      <c r="L190" s="127"/>
      <c r="M190" s="127"/>
      <c r="N190" s="127"/>
      <c r="O190" s="127"/>
      <c r="P190" s="127"/>
      <c r="Q190" s="127"/>
      <c r="R190" s="127"/>
      <c r="S190" s="127"/>
      <c r="T190" s="127"/>
      <c r="U190" s="127"/>
    </row>
    <row r="191" spans="4:21">
      <c r="D191" s="127"/>
      <c r="F191" s="127"/>
      <c r="G191" s="127"/>
      <c r="H191" s="127"/>
      <c r="K191" s="144"/>
      <c r="L191" s="127"/>
      <c r="M191" s="127"/>
      <c r="N191" s="127"/>
      <c r="O191" s="127"/>
      <c r="P191" s="127"/>
      <c r="Q191" s="127"/>
      <c r="R191" s="127"/>
      <c r="S191" s="127"/>
      <c r="T191" s="127"/>
      <c r="U191" s="127"/>
    </row>
    <row r="192" spans="4:21">
      <c r="D192" s="127"/>
      <c r="F192" s="127"/>
      <c r="G192" s="127"/>
      <c r="H192" s="127"/>
      <c r="K192" s="144"/>
      <c r="L192" s="127"/>
      <c r="M192" s="127"/>
      <c r="N192" s="127"/>
      <c r="O192" s="127"/>
      <c r="P192" s="127"/>
      <c r="Q192" s="127"/>
      <c r="R192" s="127"/>
      <c r="S192" s="127"/>
      <c r="T192" s="127"/>
      <c r="U192" s="127"/>
    </row>
    <row r="193" spans="4:21">
      <c r="D193" s="127"/>
      <c r="F193" s="127"/>
      <c r="G193" s="127"/>
      <c r="H193" s="127"/>
      <c r="K193" s="144"/>
      <c r="L193" s="127"/>
      <c r="M193" s="127"/>
      <c r="N193" s="127"/>
      <c r="O193" s="127"/>
      <c r="P193" s="127"/>
      <c r="Q193" s="127"/>
      <c r="R193" s="127"/>
      <c r="S193" s="127"/>
      <c r="T193" s="127"/>
      <c r="U193" s="127"/>
    </row>
    <row r="194" spans="4:21">
      <c r="D194" s="127"/>
      <c r="F194" s="127"/>
      <c r="G194" s="127"/>
      <c r="H194" s="127"/>
      <c r="K194" s="144"/>
      <c r="L194" s="127"/>
      <c r="M194" s="127"/>
      <c r="N194" s="127"/>
      <c r="O194" s="127"/>
      <c r="P194" s="127"/>
      <c r="Q194" s="127"/>
      <c r="R194" s="127"/>
      <c r="S194" s="127"/>
      <c r="T194" s="127"/>
      <c r="U194" s="127"/>
    </row>
    <row r="195" spans="4:21">
      <c r="D195" s="127"/>
      <c r="F195" s="127"/>
      <c r="G195" s="127"/>
      <c r="H195" s="127"/>
      <c r="K195" s="144"/>
      <c r="L195" s="127"/>
      <c r="M195" s="127"/>
      <c r="N195" s="127"/>
      <c r="O195" s="127"/>
      <c r="P195" s="127"/>
      <c r="Q195" s="127"/>
      <c r="R195" s="127"/>
      <c r="S195" s="127"/>
      <c r="T195" s="127"/>
      <c r="U195" s="127"/>
    </row>
    <row r="196" spans="4:21">
      <c r="D196" s="127"/>
      <c r="F196" s="127"/>
      <c r="G196" s="127"/>
      <c r="H196" s="127"/>
      <c r="K196" s="144"/>
      <c r="L196" s="127"/>
      <c r="M196" s="127"/>
      <c r="N196" s="127"/>
      <c r="O196" s="127"/>
      <c r="P196" s="127"/>
      <c r="Q196" s="127"/>
      <c r="R196" s="127"/>
      <c r="S196" s="127"/>
      <c r="T196" s="127"/>
      <c r="U196" s="127"/>
    </row>
    <row r="197" spans="4:21">
      <c r="D197" s="127"/>
      <c r="F197" s="127"/>
      <c r="G197" s="127"/>
      <c r="H197" s="127"/>
      <c r="K197" s="144"/>
      <c r="L197" s="127"/>
      <c r="M197" s="127"/>
      <c r="N197" s="127"/>
      <c r="O197" s="127"/>
      <c r="P197" s="127"/>
      <c r="Q197" s="127"/>
      <c r="R197" s="127"/>
      <c r="S197" s="127"/>
      <c r="T197" s="127"/>
      <c r="U197" s="127"/>
    </row>
    <row r="198" spans="4:21">
      <c r="D198" s="127"/>
      <c r="F198" s="127"/>
      <c r="G198" s="127"/>
      <c r="H198" s="127"/>
      <c r="K198" s="144"/>
      <c r="L198" s="127"/>
      <c r="M198" s="127"/>
      <c r="N198" s="127"/>
      <c r="O198" s="127"/>
      <c r="P198" s="127"/>
      <c r="Q198" s="127"/>
      <c r="R198" s="127"/>
      <c r="S198" s="127"/>
      <c r="T198" s="127"/>
      <c r="U198" s="127"/>
    </row>
    <row r="199" spans="4:21">
      <c r="D199" s="127"/>
      <c r="F199" s="127"/>
      <c r="G199" s="127"/>
      <c r="H199" s="127"/>
      <c r="K199" s="144"/>
      <c r="L199" s="127"/>
      <c r="M199" s="127"/>
      <c r="N199" s="127"/>
      <c r="O199" s="127"/>
      <c r="P199" s="127"/>
      <c r="Q199" s="127"/>
      <c r="R199" s="127"/>
      <c r="S199" s="127"/>
      <c r="T199" s="127"/>
      <c r="U199" s="127"/>
    </row>
    <row r="200" spans="4:21">
      <c r="D200" s="127"/>
      <c r="F200" s="127"/>
      <c r="G200" s="127"/>
      <c r="H200" s="127"/>
      <c r="K200" s="144"/>
      <c r="L200" s="127"/>
      <c r="M200" s="127"/>
      <c r="N200" s="127"/>
      <c r="O200" s="127"/>
      <c r="P200" s="127"/>
      <c r="Q200" s="127"/>
      <c r="R200" s="127"/>
      <c r="S200" s="127"/>
      <c r="T200" s="127"/>
      <c r="U200" s="127"/>
    </row>
    <row r="201" spans="4:21">
      <c r="D201" s="127"/>
      <c r="F201" s="127"/>
      <c r="G201" s="127"/>
      <c r="H201" s="127"/>
      <c r="K201" s="144"/>
      <c r="L201" s="127"/>
      <c r="M201" s="127"/>
      <c r="N201" s="127"/>
      <c r="O201" s="127"/>
      <c r="P201" s="127"/>
      <c r="Q201" s="127"/>
      <c r="R201" s="127"/>
      <c r="S201" s="127"/>
      <c r="T201" s="127"/>
      <c r="U201" s="127"/>
    </row>
    <row r="202" spans="4:21">
      <c r="D202" s="127"/>
      <c r="F202" s="127"/>
      <c r="G202" s="127"/>
      <c r="H202" s="127"/>
      <c r="K202" s="144"/>
      <c r="L202" s="127"/>
      <c r="M202" s="127"/>
      <c r="N202" s="127"/>
      <c r="O202" s="127"/>
      <c r="P202" s="127"/>
      <c r="Q202" s="127"/>
      <c r="R202" s="127"/>
      <c r="S202" s="127"/>
      <c r="T202" s="127"/>
      <c r="U202" s="127"/>
    </row>
    <row r="203" spans="4:21">
      <c r="D203" s="127"/>
      <c r="F203" s="127"/>
      <c r="G203" s="127"/>
      <c r="H203" s="127"/>
      <c r="K203" s="144"/>
      <c r="L203" s="127"/>
      <c r="M203" s="127"/>
      <c r="N203" s="127"/>
      <c r="O203" s="127"/>
      <c r="P203" s="127"/>
      <c r="Q203" s="127"/>
      <c r="R203" s="127"/>
      <c r="S203" s="127"/>
      <c r="T203" s="127"/>
      <c r="U203" s="127"/>
    </row>
    <row r="204" spans="4:21">
      <c r="D204" s="127"/>
      <c r="F204" s="127"/>
      <c r="G204" s="127"/>
      <c r="H204" s="127"/>
      <c r="K204" s="144"/>
      <c r="L204" s="127"/>
      <c r="M204" s="127"/>
      <c r="N204" s="127"/>
      <c r="O204" s="127"/>
      <c r="P204" s="127"/>
      <c r="Q204" s="127"/>
      <c r="R204" s="127"/>
      <c r="S204" s="127"/>
      <c r="T204" s="127"/>
      <c r="U204" s="127"/>
    </row>
    <row r="205" spans="4:21">
      <c r="D205" s="127"/>
      <c r="F205" s="127"/>
      <c r="G205" s="127"/>
      <c r="H205" s="127"/>
      <c r="K205" s="144"/>
      <c r="L205" s="127"/>
      <c r="M205" s="127"/>
      <c r="N205" s="127"/>
      <c r="O205" s="127"/>
      <c r="P205" s="127"/>
      <c r="Q205" s="127"/>
      <c r="R205" s="127"/>
      <c r="S205" s="127"/>
      <c r="T205" s="127"/>
      <c r="U205" s="127"/>
    </row>
    <row r="206" spans="4:21">
      <c r="D206" s="127"/>
      <c r="F206" s="127"/>
      <c r="G206" s="127"/>
      <c r="H206" s="127"/>
      <c r="K206" s="144"/>
      <c r="L206" s="127"/>
      <c r="M206" s="127"/>
      <c r="N206" s="127"/>
      <c r="O206" s="127"/>
      <c r="P206" s="127"/>
      <c r="Q206" s="127"/>
      <c r="R206" s="127"/>
      <c r="S206" s="127"/>
      <c r="T206" s="127"/>
      <c r="U206" s="127"/>
    </row>
    <row r="207" spans="4:21">
      <c r="D207" s="127"/>
      <c r="F207" s="127"/>
      <c r="G207" s="127"/>
      <c r="H207" s="127"/>
      <c r="K207" s="144"/>
      <c r="L207" s="127"/>
      <c r="M207" s="127"/>
      <c r="N207" s="127"/>
      <c r="O207" s="127"/>
      <c r="P207" s="127"/>
      <c r="Q207" s="127"/>
      <c r="R207" s="127"/>
      <c r="S207" s="127"/>
      <c r="T207" s="127"/>
      <c r="U207" s="127"/>
    </row>
    <row r="208" spans="4:21">
      <c r="D208" s="127"/>
      <c r="F208" s="127"/>
      <c r="G208" s="127"/>
      <c r="H208" s="127"/>
      <c r="K208" s="144"/>
      <c r="L208" s="127"/>
      <c r="M208" s="127"/>
      <c r="N208" s="127"/>
      <c r="O208" s="127"/>
      <c r="P208" s="127"/>
      <c r="Q208" s="127"/>
      <c r="R208" s="127"/>
      <c r="S208" s="127"/>
      <c r="T208" s="127"/>
      <c r="U208" s="127"/>
    </row>
    <row r="209" spans="4:21">
      <c r="D209" s="127"/>
      <c r="F209" s="127"/>
      <c r="G209" s="127"/>
      <c r="H209" s="127"/>
      <c r="K209" s="144"/>
      <c r="L209" s="127"/>
      <c r="M209" s="127"/>
      <c r="N209" s="127"/>
      <c r="O209" s="127"/>
      <c r="P209" s="127"/>
      <c r="Q209" s="127"/>
      <c r="R209" s="127"/>
      <c r="S209" s="127"/>
      <c r="T209" s="127"/>
      <c r="U209" s="127"/>
    </row>
    <row r="210" spans="4:21">
      <c r="D210" s="127"/>
      <c r="F210" s="127"/>
      <c r="G210" s="127"/>
      <c r="H210" s="127"/>
      <c r="K210" s="144"/>
      <c r="L210" s="127"/>
      <c r="M210" s="127"/>
      <c r="N210" s="127"/>
      <c r="O210" s="127"/>
      <c r="P210" s="127"/>
      <c r="Q210" s="127"/>
      <c r="R210" s="127"/>
      <c r="S210" s="127"/>
      <c r="T210" s="127"/>
      <c r="U210" s="127"/>
    </row>
    <row r="211" spans="4:21">
      <c r="D211" s="127"/>
      <c r="F211" s="127"/>
      <c r="G211" s="127"/>
      <c r="H211" s="127"/>
      <c r="K211" s="144"/>
      <c r="L211" s="127"/>
      <c r="M211" s="127"/>
      <c r="N211" s="127"/>
      <c r="O211" s="127"/>
      <c r="P211" s="127"/>
      <c r="Q211" s="127"/>
      <c r="R211" s="127"/>
      <c r="S211" s="127"/>
      <c r="T211" s="127"/>
      <c r="U211" s="127"/>
    </row>
    <row r="212" spans="4:21">
      <c r="D212" s="127"/>
      <c r="F212" s="127"/>
      <c r="G212" s="127"/>
      <c r="H212" s="127"/>
      <c r="K212" s="144"/>
      <c r="L212" s="127"/>
      <c r="M212" s="127"/>
      <c r="N212" s="127"/>
      <c r="O212" s="127"/>
      <c r="P212" s="127"/>
      <c r="Q212" s="127"/>
      <c r="R212" s="127"/>
      <c r="S212" s="127"/>
      <c r="T212" s="127"/>
      <c r="U212" s="127"/>
    </row>
    <row r="213" spans="4:21">
      <c r="D213" s="127"/>
      <c r="F213" s="127"/>
      <c r="G213" s="127"/>
      <c r="H213" s="127"/>
      <c r="K213" s="144"/>
      <c r="L213" s="127"/>
      <c r="M213" s="127"/>
      <c r="N213" s="127"/>
      <c r="O213" s="127"/>
      <c r="P213" s="127"/>
      <c r="Q213" s="127"/>
      <c r="R213" s="127"/>
      <c r="S213" s="127"/>
      <c r="T213" s="127"/>
      <c r="U213" s="127"/>
    </row>
    <row r="214" spans="4:21">
      <c r="D214" s="127"/>
      <c r="F214" s="127"/>
      <c r="G214" s="127"/>
      <c r="H214" s="127"/>
      <c r="K214" s="144"/>
      <c r="L214" s="127"/>
      <c r="M214" s="127"/>
      <c r="N214" s="127"/>
      <c r="O214" s="127"/>
      <c r="P214" s="127"/>
      <c r="Q214" s="127"/>
      <c r="R214" s="127"/>
      <c r="S214" s="127"/>
      <c r="T214" s="127"/>
      <c r="U214" s="127"/>
    </row>
    <row r="215" spans="4:21">
      <c r="D215" s="127"/>
      <c r="F215" s="127"/>
      <c r="G215" s="127"/>
      <c r="H215" s="127"/>
      <c r="K215" s="144"/>
      <c r="L215" s="127"/>
      <c r="M215" s="127"/>
      <c r="N215" s="127"/>
      <c r="O215" s="127"/>
      <c r="P215" s="127"/>
      <c r="Q215" s="127"/>
      <c r="R215" s="127"/>
      <c r="S215" s="127"/>
      <c r="T215" s="127"/>
      <c r="U215" s="127"/>
    </row>
    <row r="216" spans="4:21">
      <c r="D216" s="127"/>
      <c r="F216" s="127"/>
      <c r="G216" s="127"/>
      <c r="H216" s="127"/>
      <c r="K216" s="144"/>
      <c r="L216" s="127"/>
      <c r="M216" s="127"/>
      <c r="N216" s="127"/>
      <c r="O216" s="127"/>
      <c r="P216" s="127"/>
      <c r="Q216" s="127"/>
      <c r="R216" s="127"/>
      <c r="S216" s="127"/>
      <c r="T216" s="127"/>
      <c r="U216" s="127"/>
    </row>
    <row r="217" spans="4:21">
      <c r="D217" s="127"/>
      <c r="F217" s="127"/>
      <c r="G217" s="127"/>
      <c r="H217" s="127"/>
      <c r="K217" s="144"/>
      <c r="L217" s="127"/>
      <c r="M217" s="127"/>
      <c r="N217" s="127"/>
      <c r="O217" s="127"/>
      <c r="P217" s="127"/>
      <c r="Q217" s="127"/>
      <c r="R217" s="127"/>
      <c r="S217" s="127"/>
      <c r="T217" s="127"/>
      <c r="U217" s="127"/>
    </row>
    <row r="218" spans="4:21">
      <c r="D218" s="127"/>
      <c r="F218" s="127"/>
      <c r="G218" s="127"/>
      <c r="H218" s="127"/>
      <c r="K218" s="144"/>
      <c r="L218" s="127"/>
      <c r="M218" s="127"/>
      <c r="N218" s="127"/>
      <c r="O218" s="127"/>
      <c r="P218" s="127"/>
      <c r="Q218" s="127"/>
      <c r="R218" s="127"/>
      <c r="S218" s="127"/>
      <c r="T218" s="127"/>
      <c r="U218" s="127"/>
    </row>
    <row r="219" spans="4:21">
      <c r="D219" s="127"/>
      <c r="F219" s="127"/>
      <c r="G219" s="127"/>
      <c r="H219" s="127"/>
      <c r="K219" s="144"/>
      <c r="L219" s="127"/>
      <c r="M219" s="127"/>
      <c r="N219" s="127"/>
      <c r="O219" s="127"/>
      <c r="P219" s="127"/>
      <c r="Q219" s="127"/>
      <c r="R219" s="127"/>
      <c r="S219" s="127"/>
      <c r="T219" s="127"/>
      <c r="U219" s="127"/>
    </row>
    <row r="220" spans="4:21">
      <c r="D220" s="127"/>
      <c r="F220" s="127"/>
      <c r="G220" s="127"/>
      <c r="H220" s="127"/>
      <c r="K220" s="144"/>
      <c r="L220" s="127"/>
      <c r="M220" s="127"/>
      <c r="N220" s="127"/>
      <c r="O220" s="127"/>
      <c r="P220" s="127"/>
      <c r="Q220" s="127"/>
      <c r="R220" s="127"/>
      <c r="S220" s="127"/>
      <c r="T220" s="127"/>
      <c r="U220" s="127"/>
    </row>
    <row r="221" spans="4:21">
      <c r="D221" s="127"/>
      <c r="F221" s="127"/>
      <c r="G221" s="127"/>
      <c r="H221" s="127"/>
      <c r="K221" s="144"/>
      <c r="L221" s="127"/>
      <c r="M221" s="127"/>
      <c r="N221" s="127"/>
      <c r="O221" s="127"/>
      <c r="P221" s="127"/>
      <c r="Q221" s="127"/>
      <c r="R221" s="127"/>
      <c r="S221" s="127"/>
      <c r="T221" s="127"/>
      <c r="U221" s="127"/>
    </row>
    <row r="222" spans="4:21">
      <c r="D222" s="127"/>
      <c r="F222" s="127"/>
      <c r="G222" s="127"/>
      <c r="H222" s="127"/>
      <c r="K222" s="144"/>
      <c r="L222" s="127"/>
      <c r="M222" s="127"/>
      <c r="N222" s="127"/>
      <c r="O222" s="127"/>
      <c r="P222" s="127"/>
      <c r="Q222" s="127"/>
      <c r="R222" s="127"/>
      <c r="S222" s="127"/>
      <c r="T222" s="127"/>
      <c r="U222" s="127"/>
    </row>
    <row r="223" spans="4:21">
      <c r="D223" s="127"/>
      <c r="F223" s="127"/>
      <c r="G223" s="127"/>
      <c r="H223" s="127"/>
      <c r="K223" s="144"/>
      <c r="L223" s="127"/>
      <c r="M223" s="127"/>
      <c r="N223" s="127"/>
      <c r="O223" s="127"/>
      <c r="P223" s="127"/>
      <c r="Q223" s="127"/>
      <c r="R223" s="127"/>
      <c r="S223" s="127"/>
      <c r="T223" s="127"/>
      <c r="U223" s="127"/>
    </row>
    <row r="224" spans="4:21">
      <c r="D224" s="127"/>
      <c r="F224" s="127"/>
      <c r="G224" s="127"/>
      <c r="H224" s="127"/>
      <c r="K224" s="144"/>
      <c r="L224" s="127"/>
      <c r="M224" s="127"/>
      <c r="N224" s="127"/>
      <c r="O224" s="127"/>
      <c r="P224" s="127"/>
      <c r="Q224" s="127"/>
      <c r="R224" s="127"/>
      <c r="S224" s="127"/>
      <c r="T224" s="127"/>
      <c r="U224" s="127"/>
    </row>
    <row r="225" spans="4:21">
      <c r="D225" s="127"/>
      <c r="F225" s="127"/>
      <c r="G225" s="127"/>
      <c r="H225" s="127"/>
      <c r="K225" s="144"/>
      <c r="L225" s="127"/>
      <c r="M225" s="127"/>
      <c r="N225" s="127"/>
      <c r="O225" s="127"/>
      <c r="P225" s="127"/>
      <c r="Q225" s="127"/>
      <c r="R225" s="127"/>
      <c r="S225" s="127"/>
      <c r="T225" s="127"/>
      <c r="U225" s="127"/>
    </row>
    <row r="226" spans="4:21">
      <c r="D226" s="127"/>
      <c r="F226" s="127"/>
      <c r="G226" s="127"/>
      <c r="H226" s="127"/>
      <c r="K226" s="144"/>
      <c r="L226" s="127"/>
      <c r="M226" s="127"/>
      <c r="N226" s="127"/>
      <c r="O226" s="127"/>
      <c r="P226" s="127"/>
      <c r="Q226" s="127"/>
      <c r="R226" s="127"/>
      <c r="S226" s="127"/>
      <c r="T226" s="127"/>
      <c r="U226" s="127"/>
    </row>
    <row r="227" spans="4:21">
      <c r="D227" s="127"/>
      <c r="F227" s="127"/>
      <c r="G227" s="127"/>
      <c r="H227" s="127"/>
      <c r="K227" s="144"/>
      <c r="L227" s="127"/>
      <c r="M227" s="127"/>
      <c r="N227" s="127"/>
      <c r="O227" s="127"/>
      <c r="P227" s="127"/>
      <c r="Q227" s="127"/>
      <c r="R227" s="127"/>
      <c r="S227" s="127"/>
      <c r="T227" s="127"/>
      <c r="U227" s="127"/>
    </row>
    <row r="228" spans="4:21">
      <c r="D228" s="127"/>
      <c r="F228" s="127"/>
      <c r="G228" s="127"/>
      <c r="H228" s="127"/>
      <c r="K228" s="144"/>
      <c r="L228" s="127"/>
      <c r="M228" s="127"/>
      <c r="N228" s="127"/>
      <c r="O228" s="127"/>
      <c r="P228" s="127"/>
      <c r="Q228" s="127"/>
      <c r="R228" s="127"/>
      <c r="S228" s="127"/>
      <c r="T228" s="127"/>
      <c r="U228" s="127"/>
    </row>
    <row r="229" spans="4:21">
      <c r="D229" s="127"/>
      <c r="F229" s="127"/>
      <c r="G229" s="127"/>
      <c r="H229" s="127"/>
      <c r="K229" s="144"/>
      <c r="L229" s="127"/>
      <c r="M229" s="127"/>
      <c r="N229" s="127"/>
      <c r="O229" s="127"/>
      <c r="P229" s="127"/>
      <c r="Q229" s="127"/>
      <c r="R229" s="127"/>
      <c r="S229" s="127"/>
      <c r="T229" s="127"/>
      <c r="U229" s="127"/>
    </row>
    <row r="230" spans="4:21">
      <c r="D230" s="127"/>
      <c r="F230" s="127"/>
      <c r="G230" s="127"/>
      <c r="H230" s="127"/>
      <c r="K230" s="144"/>
      <c r="L230" s="127"/>
      <c r="M230" s="127"/>
      <c r="N230" s="127"/>
      <c r="O230" s="127"/>
      <c r="P230" s="127"/>
      <c r="Q230" s="127"/>
      <c r="R230" s="127"/>
      <c r="S230" s="127"/>
      <c r="T230" s="127"/>
      <c r="U230" s="127"/>
    </row>
    <row r="231" spans="4:21">
      <c r="D231" s="127"/>
      <c r="F231" s="127"/>
      <c r="G231" s="127"/>
      <c r="H231" s="127"/>
      <c r="K231" s="144"/>
      <c r="L231" s="127"/>
      <c r="M231" s="127"/>
      <c r="N231" s="127"/>
      <c r="O231" s="127"/>
      <c r="P231" s="127"/>
      <c r="Q231" s="127"/>
      <c r="R231" s="127"/>
      <c r="S231" s="127"/>
      <c r="T231" s="127"/>
      <c r="U231" s="127"/>
    </row>
    <row r="232" spans="4:21">
      <c r="D232" s="127"/>
      <c r="F232" s="127"/>
      <c r="G232" s="127"/>
      <c r="H232" s="127"/>
      <c r="K232" s="144"/>
      <c r="L232" s="127"/>
      <c r="M232" s="127"/>
      <c r="N232" s="127"/>
      <c r="O232" s="127"/>
      <c r="P232" s="127"/>
      <c r="Q232" s="127"/>
      <c r="R232" s="127"/>
      <c r="S232" s="127"/>
      <c r="T232" s="127"/>
      <c r="U232" s="127"/>
    </row>
    <row r="233" spans="4:21">
      <c r="D233" s="127"/>
      <c r="F233" s="127"/>
      <c r="G233" s="127"/>
      <c r="H233" s="127"/>
      <c r="K233" s="144"/>
      <c r="L233" s="127"/>
      <c r="M233" s="127"/>
      <c r="N233" s="127"/>
      <c r="O233" s="127"/>
      <c r="P233" s="127"/>
      <c r="Q233" s="127"/>
      <c r="R233" s="127"/>
      <c r="S233" s="127"/>
      <c r="T233" s="127"/>
      <c r="U233" s="127"/>
    </row>
    <row r="234" spans="4:21">
      <c r="D234" s="127"/>
      <c r="F234" s="127"/>
      <c r="G234" s="127"/>
      <c r="H234" s="127"/>
      <c r="K234" s="144"/>
      <c r="L234" s="127"/>
      <c r="M234" s="127"/>
      <c r="N234" s="127"/>
      <c r="O234" s="127"/>
      <c r="P234" s="127"/>
      <c r="Q234" s="127"/>
      <c r="R234" s="127"/>
      <c r="S234" s="127"/>
      <c r="T234" s="127"/>
      <c r="U234" s="127"/>
    </row>
    <row r="235" spans="4:21">
      <c r="D235" s="127"/>
      <c r="F235" s="127"/>
      <c r="G235" s="127"/>
      <c r="H235" s="127"/>
      <c r="K235" s="144"/>
      <c r="L235" s="127"/>
      <c r="M235" s="127"/>
      <c r="N235" s="127"/>
      <c r="O235" s="127"/>
      <c r="P235" s="127"/>
      <c r="Q235" s="127"/>
      <c r="R235" s="127"/>
      <c r="S235" s="127"/>
      <c r="T235" s="127"/>
      <c r="U235" s="127"/>
    </row>
    <row r="236" spans="4:21">
      <c r="D236" s="127"/>
      <c r="F236" s="127"/>
      <c r="G236" s="127"/>
      <c r="H236" s="127"/>
      <c r="K236" s="144"/>
      <c r="L236" s="127"/>
      <c r="M236" s="127"/>
      <c r="N236" s="127"/>
      <c r="O236" s="127"/>
      <c r="P236" s="127"/>
      <c r="Q236" s="127"/>
      <c r="R236" s="127"/>
      <c r="S236" s="127"/>
      <c r="T236" s="127"/>
      <c r="U236" s="127"/>
    </row>
    <row r="237" spans="4:21">
      <c r="D237" s="127"/>
      <c r="F237" s="127"/>
      <c r="G237" s="127"/>
      <c r="H237" s="127"/>
      <c r="K237" s="144"/>
      <c r="L237" s="127"/>
      <c r="M237" s="127"/>
      <c r="N237" s="127"/>
      <c r="O237" s="127"/>
      <c r="P237" s="127"/>
      <c r="Q237" s="127"/>
      <c r="R237" s="127"/>
      <c r="S237" s="127"/>
      <c r="T237" s="127"/>
      <c r="U237" s="127"/>
    </row>
    <row r="238" spans="4:21">
      <c r="D238" s="127"/>
      <c r="F238" s="127"/>
      <c r="G238" s="127"/>
      <c r="H238" s="127"/>
      <c r="K238" s="144"/>
      <c r="L238" s="127"/>
      <c r="M238" s="127"/>
      <c r="N238" s="127"/>
      <c r="O238" s="127"/>
      <c r="P238" s="127"/>
      <c r="Q238" s="127"/>
      <c r="R238" s="127"/>
      <c r="S238" s="127"/>
      <c r="T238" s="127"/>
      <c r="U238" s="127"/>
    </row>
    <row r="239" spans="4:21">
      <c r="D239" s="127"/>
      <c r="F239" s="127"/>
      <c r="G239" s="127"/>
      <c r="H239" s="127"/>
      <c r="K239" s="144"/>
      <c r="L239" s="127"/>
      <c r="M239" s="127"/>
      <c r="N239" s="127"/>
      <c r="O239" s="127"/>
      <c r="P239" s="127"/>
      <c r="Q239" s="127"/>
      <c r="R239" s="127"/>
      <c r="S239" s="127"/>
      <c r="T239" s="127"/>
      <c r="U239" s="127"/>
    </row>
    <row r="240" spans="4:21">
      <c r="D240" s="127"/>
      <c r="F240" s="127"/>
      <c r="G240" s="127"/>
      <c r="H240" s="127"/>
      <c r="K240" s="144"/>
      <c r="L240" s="127"/>
      <c r="M240" s="127"/>
      <c r="N240" s="127"/>
      <c r="O240" s="127"/>
      <c r="P240" s="127"/>
      <c r="Q240" s="127"/>
      <c r="R240" s="127"/>
      <c r="S240" s="127"/>
      <c r="T240" s="127"/>
      <c r="U240" s="127"/>
    </row>
    <row r="241" spans="4:21">
      <c r="D241" s="127"/>
      <c r="F241" s="127"/>
      <c r="G241" s="127"/>
      <c r="H241" s="127"/>
      <c r="K241" s="144"/>
      <c r="L241" s="127"/>
      <c r="M241" s="127"/>
      <c r="N241" s="127"/>
      <c r="O241" s="127"/>
      <c r="P241" s="127"/>
      <c r="Q241" s="127"/>
      <c r="R241" s="127"/>
      <c r="S241" s="127"/>
      <c r="T241" s="127"/>
      <c r="U241" s="127"/>
    </row>
    <row r="242" spans="4:21">
      <c r="D242" s="127"/>
      <c r="F242" s="127"/>
      <c r="G242" s="127"/>
      <c r="H242" s="127"/>
      <c r="K242" s="144"/>
      <c r="L242" s="127"/>
      <c r="M242" s="127"/>
      <c r="N242" s="127"/>
      <c r="O242" s="127"/>
      <c r="P242" s="127"/>
      <c r="Q242" s="127"/>
      <c r="R242" s="127"/>
      <c r="S242" s="127"/>
      <c r="T242" s="127"/>
      <c r="U242" s="127"/>
    </row>
    <row r="243" spans="4:21">
      <c r="D243" s="127"/>
      <c r="F243" s="127"/>
      <c r="G243" s="127"/>
      <c r="H243" s="127"/>
      <c r="K243" s="144"/>
      <c r="L243" s="127"/>
      <c r="M243" s="127"/>
      <c r="N243" s="127"/>
      <c r="O243" s="127"/>
      <c r="P243" s="127"/>
      <c r="Q243" s="127"/>
      <c r="R243" s="127"/>
      <c r="S243" s="127"/>
      <c r="T243" s="127"/>
      <c r="U243" s="127"/>
    </row>
    <row r="244" spans="4:21">
      <c r="D244" s="127"/>
      <c r="F244" s="127"/>
      <c r="G244" s="127"/>
      <c r="H244" s="127"/>
      <c r="K244" s="144"/>
      <c r="L244" s="127"/>
      <c r="M244" s="127"/>
      <c r="N244" s="127"/>
      <c r="O244" s="127"/>
      <c r="P244" s="127"/>
      <c r="Q244" s="127"/>
      <c r="R244" s="127"/>
      <c r="S244" s="127"/>
      <c r="T244" s="127"/>
      <c r="U244" s="127"/>
    </row>
    <row r="245" spans="4:21">
      <c r="D245" s="127"/>
      <c r="F245" s="127"/>
      <c r="G245" s="127"/>
      <c r="H245" s="127"/>
      <c r="K245" s="144"/>
      <c r="L245" s="127"/>
      <c r="M245" s="127"/>
      <c r="N245" s="127"/>
      <c r="O245" s="127"/>
      <c r="P245" s="127"/>
      <c r="Q245" s="127"/>
      <c r="R245" s="127"/>
      <c r="S245" s="127"/>
      <c r="T245" s="127"/>
      <c r="U245" s="127"/>
    </row>
    <row r="246" spans="4:21">
      <c r="D246" s="127"/>
      <c r="F246" s="127"/>
      <c r="G246" s="127"/>
      <c r="H246" s="127"/>
      <c r="K246" s="144"/>
      <c r="L246" s="127"/>
      <c r="M246" s="127"/>
      <c r="N246" s="127"/>
      <c r="O246" s="127"/>
      <c r="P246" s="127"/>
      <c r="Q246" s="127"/>
      <c r="R246" s="127"/>
      <c r="S246" s="127"/>
      <c r="T246" s="127"/>
      <c r="U246" s="127"/>
    </row>
    <row r="247" spans="4:21">
      <c r="D247" s="127"/>
      <c r="F247" s="127"/>
      <c r="G247" s="127"/>
      <c r="H247" s="127"/>
      <c r="K247" s="144"/>
      <c r="L247" s="127"/>
      <c r="M247" s="127"/>
      <c r="N247" s="127"/>
      <c r="O247" s="127"/>
      <c r="P247" s="127"/>
      <c r="Q247" s="127"/>
      <c r="R247" s="127"/>
      <c r="S247" s="127"/>
      <c r="T247" s="127"/>
      <c r="U247" s="127"/>
    </row>
    <row r="248" spans="4:21">
      <c r="D248" s="127"/>
      <c r="F248" s="127"/>
      <c r="G248" s="127"/>
      <c r="H248" s="127"/>
      <c r="K248" s="144"/>
      <c r="L248" s="127"/>
      <c r="M248" s="127"/>
      <c r="N248" s="127"/>
      <c r="O248" s="127"/>
      <c r="P248" s="127"/>
      <c r="Q248" s="127"/>
      <c r="R248" s="127"/>
      <c r="S248" s="127"/>
      <c r="T248" s="127"/>
      <c r="U248" s="127"/>
    </row>
    <row r="249" spans="4:21">
      <c r="D249" s="127"/>
      <c r="F249" s="127"/>
      <c r="G249" s="127"/>
      <c r="H249" s="127"/>
      <c r="K249" s="144"/>
      <c r="L249" s="127"/>
      <c r="M249" s="127"/>
      <c r="N249" s="127"/>
      <c r="O249" s="127"/>
      <c r="P249" s="127"/>
      <c r="Q249" s="127"/>
      <c r="R249" s="127"/>
      <c r="S249" s="127"/>
      <c r="T249" s="127"/>
      <c r="U249" s="127"/>
    </row>
    <row r="250" spans="4:21">
      <c r="D250" s="127"/>
      <c r="F250" s="127"/>
      <c r="G250" s="127"/>
      <c r="H250" s="127"/>
      <c r="K250" s="144"/>
      <c r="L250" s="127"/>
      <c r="M250" s="127"/>
      <c r="N250" s="127"/>
      <c r="O250" s="127"/>
      <c r="P250" s="127"/>
      <c r="Q250" s="127"/>
      <c r="R250" s="127"/>
      <c r="S250" s="127"/>
      <c r="T250" s="127"/>
      <c r="U250" s="127"/>
    </row>
    <row r="251" spans="4:21">
      <c r="D251" s="127"/>
      <c r="F251" s="127"/>
      <c r="G251" s="127"/>
      <c r="H251" s="127"/>
      <c r="K251" s="144"/>
      <c r="L251" s="127"/>
      <c r="M251" s="127"/>
      <c r="N251" s="127"/>
      <c r="O251" s="127"/>
      <c r="P251" s="127"/>
      <c r="Q251" s="127"/>
      <c r="R251" s="127"/>
      <c r="S251" s="127"/>
      <c r="T251" s="127"/>
      <c r="U251" s="127"/>
    </row>
    <row r="252" spans="4:21">
      <c r="D252" s="127"/>
      <c r="F252" s="127"/>
      <c r="G252" s="127"/>
      <c r="H252" s="127"/>
      <c r="K252" s="144"/>
      <c r="L252" s="127"/>
      <c r="M252" s="127"/>
      <c r="N252" s="127"/>
      <c r="O252" s="127"/>
      <c r="P252" s="127"/>
      <c r="Q252" s="127"/>
      <c r="R252" s="127"/>
      <c r="S252" s="127"/>
      <c r="T252" s="127"/>
      <c r="U252" s="127"/>
    </row>
    <row r="253" spans="4:21">
      <c r="D253" s="127"/>
      <c r="F253" s="127"/>
      <c r="G253" s="127"/>
      <c r="H253" s="127"/>
      <c r="K253" s="144"/>
      <c r="L253" s="127"/>
      <c r="M253" s="127"/>
      <c r="N253" s="127"/>
      <c r="O253" s="127"/>
      <c r="P253" s="127"/>
      <c r="Q253" s="127"/>
      <c r="R253" s="127"/>
      <c r="S253" s="127"/>
      <c r="T253" s="127"/>
      <c r="U253" s="127"/>
    </row>
    <row r="254" spans="4:21">
      <c r="D254" s="127"/>
      <c r="F254" s="127"/>
      <c r="G254" s="127"/>
      <c r="H254" s="127"/>
      <c r="K254" s="144"/>
      <c r="L254" s="127"/>
      <c r="M254" s="127"/>
      <c r="N254" s="127"/>
      <c r="O254" s="127"/>
      <c r="P254" s="127"/>
      <c r="Q254" s="127"/>
      <c r="R254" s="127"/>
      <c r="S254" s="127"/>
      <c r="T254" s="127"/>
      <c r="U254" s="127"/>
    </row>
    <row r="255" spans="4:21">
      <c r="D255" s="127"/>
      <c r="F255" s="127"/>
      <c r="G255" s="127"/>
      <c r="H255" s="127"/>
      <c r="K255" s="144"/>
      <c r="L255" s="127"/>
      <c r="M255" s="127"/>
      <c r="N255" s="127"/>
      <c r="O255" s="127"/>
      <c r="P255" s="127"/>
      <c r="Q255" s="127"/>
      <c r="R255" s="127"/>
      <c r="S255" s="127"/>
      <c r="T255" s="127"/>
      <c r="U255" s="127"/>
    </row>
    <row r="256" spans="4:21">
      <c r="D256" s="127"/>
      <c r="F256" s="127"/>
      <c r="G256" s="127"/>
      <c r="H256" s="127"/>
      <c r="K256" s="144"/>
      <c r="L256" s="127"/>
      <c r="M256" s="127"/>
      <c r="N256" s="127"/>
      <c r="O256" s="127"/>
      <c r="P256" s="127"/>
      <c r="Q256" s="127"/>
      <c r="R256" s="127"/>
      <c r="S256" s="127"/>
      <c r="T256" s="127"/>
      <c r="U256" s="127"/>
    </row>
    <row r="257" spans="4:21">
      <c r="D257" s="127"/>
      <c r="F257" s="127"/>
      <c r="G257" s="127"/>
      <c r="H257" s="127"/>
      <c r="K257" s="144"/>
      <c r="L257" s="127"/>
      <c r="M257" s="127"/>
      <c r="N257" s="127"/>
      <c r="O257" s="127"/>
      <c r="P257" s="127"/>
      <c r="Q257" s="127"/>
      <c r="R257" s="127"/>
      <c r="S257" s="127"/>
      <c r="T257" s="127"/>
      <c r="U257" s="127"/>
    </row>
    <row r="258" spans="4:21">
      <c r="D258" s="127"/>
      <c r="F258" s="127"/>
      <c r="G258" s="127"/>
      <c r="H258" s="127"/>
      <c r="K258" s="144"/>
      <c r="L258" s="127"/>
      <c r="M258" s="127"/>
      <c r="N258" s="127"/>
      <c r="O258" s="127"/>
      <c r="P258" s="127"/>
      <c r="Q258" s="127"/>
      <c r="R258" s="127"/>
      <c r="S258" s="127"/>
      <c r="T258" s="127"/>
      <c r="U258" s="127"/>
    </row>
    <row r="259" spans="4:21">
      <c r="D259" s="127"/>
      <c r="F259" s="127"/>
      <c r="G259" s="127"/>
      <c r="H259" s="127"/>
      <c r="K259" s="144"/>
      <c r="L259" s="127"/>
      <c r="M259" s="127"/>
      <c r="N259" s="127"/>
      <c r="O259" s="127"/>
      <c r="P259" s="127"/>
      <c r="Q259" s="127"/>
      <c r="R259" s="127"/>
      <c r="S259" s="127"/>
      <c r="T259" s="127"/>
      <c r="U259" s="127"/>
    </row>
    <row r="260" spans="4:21">
      <c r="D260" s="127"/>
      <c r="F260" s="127"/>
      <c r="G260" s="127"/>
      <c r="H260" s="127"/>
      <c r="K260" s="144"/>
      <c r="L260" s="127"/>
      <c r="M260" s="127"/>
      <c r="N260" s="127"/>
      <c r="O260" s="127"/>
      <c r="P260" s="127"/>
      <c r="Q260" s="127"/>
      <c r="R260" s="127"/>
      <c r="S260" s="127"/>
      <c r="T260" s="127"/>
      <c r="U260" s="127"/>
    </row>
    <row r="261" spans="4:21">
      <c r="D261" s="127"/>
      <c r="F261" s="127"/>
      <c r="G261" s="127"/>
      <c r="H261" s="127"/>
      <c r="K261" s="144"/>
      <c r="L261" s="127"/>
      <c r="M261" s="127"/>
      <c r="N261" s="127"/>
      <c r="O261" s="127"/>
      <c r="P261" s="127"/>
      <c r="Q261" s="127"/>
      <c r="R261" s="127"/>
      <c r="S261" s="127"/>
      <c r="T261" s="127"/>
      <c r="U261" s="127"/>
    </row>
    <row r="262" spans="4:21">
      <c r="D262" s="127"/>
      <c r="F262" s="127"/>
      <c r="G262" s="127"/>
      <c r="H262" s="127"/>
      <c r="K262" s="144"/>
      <c r="L262" s="127"/>
      <c r="M262" s="127"/>
      <c r="N262" s="127"/>
      <c r="O262" s="127"/>
      <c r="P262" s="127"/>
      <c r="Q262" s="127"/>
      <c r="R262" s="127"/>
      <c r="S262" s="127"/>
      <c r="T262" s="127"/>
      <c r="U262" s="127"/>
    </row>
    <row r="263" spans="4:21">
      <c r="D263" s="127"/>
      <c r="F263" s="127"/>
      <c r="G263" s="127"/>
      <c r="H263" s="127"/>
      <c r="K263" s="144"/>
      <c r="L263" s="127"/>
      <c r="M263" s="127"/>
      <c r="N263" s="127"/>
      <c r="O263" s="127"/>
      <c r="P263" s="127"/>
      <c r="Q263" s="127"/>
      <c r="R263" s="127"/>
      <c r="S263" s="127"/>
      <c r="T263" s="127"/>
      <c r="U263" s="127"/>
    </row>
    <row r="264" spans="4:21">
      <c r="D264" s="127"/>
      <c r="F264" s="127"/>
      <c r="G264" s="127"/>
      <c r="H264" s="127"/>
      <c r="K264" s="144"/>
      <c r="L264" s="127"/>
      <c r="M264" s="127"/>
      <c r="N264" s="127"/>
      <c r="O264" s="127"/>
      <c r="P264" s="127"/>
      <c r="Q264" s="127"/>
      <c r="R264" s="127"/>
      <c r="S264" s="127"/>
      <c r="T264" s="127"/>
      <c r="U264" s="127"/>
    </row>
    <row r="265" spans="4:21">
      <c r="D265" s="127"/>
      <c r="F265" s="127"/>
      <c r="G265" s="127"/>
      <c r="H265" s="127"/>
      <c r="K265" s="144"/>
      <c r="L265" s="127"/>
      <c r="M265" s="127"/>
      <c r="N265" s="127"/>
      <c r="O265" s="127"/>
      <c r="P265" s="127"/>
      <c r="Q265" s="127"/>
      <c r="R265" s="127"/>
      <c r="S265" s="127"/>
      <c r="T265" s="127"/>
      <c r="U265" s="127"/>
    </row>
    <row r="266" spans="4:21">
      <c r="D266" s="127"/>
      <c r="F266" s="127"/>
      <c r="G266" s="127"/>
      <c r="H266" s="127"/>
      <c r="K266" s="144"/>
      <c r="L266" s="127"/>
      <c r="M266" s="127"/>
      <c r="N266" s="127"/>
      <c r="O266" s="127"/>
      <c r="P266" s="127"/>
      <c r="Q266" s="127"/>
      <c r="R266" s="127"/>
      <c r="S266" s="127"/>
      <c r="T266" s="127"/>
      <c r="U266" s="127"/>
    </row>
    <row r="267" spans="4:21">
      <c r="D267" s="127"/>
      <c r="F267" s="127"/>
      <c r="G267" s="127"/>
      <c r="H267" s="127"/>
      <c r="K267" s="144"/>
      <c r="L267" s="127"/>
      <c r="M267" s="127"/>
      <c r="N267" s="127"/>
      <c r="O267" s="127"/>
      <c r="P267" s="127"/>
      <c r="Q267" s="127"/>
      <c r="R267" s="127"/>
      <c r="S267" s="127"/>
      <c r="T267" s="127"/>
      <c r="U267" s="127"/>
    </row>
    <row r="268" spans="4:21">
      <c r="D268" s="127"/>
      <c r="F268" s="127"/>
      <c r="G268" s="127"/>
      <c r="H268" s="127"/>
      <c r="K268" s="144"/>
      <c r="L268" s="127"/>
      <c r="M268" s="127"/>
      <c r="N268" s="127"/>
      <c r="O268" s="127"/>
      <c r="P268" s="127"/>
      <c r="Q268" s="127"/>
      <c r="R268" s="127"/>
      <c r="S268" s="127"/>
      <c r="T268" s="127"/>
      <c r="U268" s="127"/>
    </row>
    <row r="269" spans="4:21">
      <c r="D269" s="127"/>
      <c r="F269" s="127"/>
      <c r="G269" s="127"/>
      <c r="H269" s="127"/>
      <c r="K269" s="144"/>
      <c r="L269" s="127"/>
      <c r="M269" s="127"/>
      <c r="N269" s="127"/>
      <c r="O269" s="127"/>
      <c r="P269" s="127"/>
      <c r="Q269" s="127"/>
      <c r="R269" s="127"/>
      <c r="S269" s="127"/>
      <c r="T269" s="127"/>
      <c r="U269" s="127"/>
    </row>
    <row r="270" spans="4:21">
      <c r="D270" s="127"/>
      <c r="F270" s="127"/>
      <c r="G270" s="127"/>
      <c r="H270" s="127"/>
      <c r="K270" s="144"/>
      <c r="L270" s="127"/>
      <c r="M270" s="127"/>
      <c r="N270" s="127"/>
      <c r="O270" s="127"/>
      <c r="P270" s="127"/>
      <c r="Q270" s="127"/>
      <c r="R270" s="127"/>
      <c r="S270" s="127"/>
      <c r="T270" s="127"/>
      <c r="U270" s="127"/>
    </row>
    <row r="271" spans="4:21">
      <c r="D271" s="127"/>
      <c r="F271" s="127"/>
      <c r="G271" s="127"/>
      <c r="H271" s="127"/>
      <c r="K271" s="144"/>
      <c r="L271" s="127"/>
      <c r="M271" s="127"/>
      <c r="N271" s="127"/>
      <c r="O271" s="127"/>
      <c r="P271" s="127"/>
      <c r="Q271" s="127"/>
      <c r="R271" s="127"/>
      <c r="S271" s="127"/>
      <c r="T271" s="127"/>
      <c r="U271" s="127"/>
    </row>
    <row r="272" spans="4:21">
      <c r="D272" s="127"/>
      <c r="F272" s="127"/>
      <c r="G272" s="127"/>
      <c r="H272" s="127"/>
      <c r="K272" s="144"/>
      <c r="L272" s="127"/>
      <c r="M272" s="127"/>
      <c r="N272" s="127"/>
      <c r="O272" s="127"/>
      <c r="P272" s="127"/>
      <c r="Q272" s="127"/>
      <c r="R272" s="127"/>
      <c r="S272" s="127"/>
      <c r="T272" s="127"/>
      <c r="U272" s="127"/>
    </row>
    <row r="273" spans="4:21">
      <c r="D273" s="127"/>
      <c r="F273" s="127"/>
      <c r="G273" s="127"/>
      <c r="H273" s="127"/>
      <c r="K273" s="144"/>
      <c r="L273" s="127"/>
      <c r="M273" s="127"/>
      <c r="N273" s="127"/>
      <c r="O273" s="127"/>
      <c r="P273" s="127"/>
      <c r="Q273" s="127"/>
      <c r="R273" s="127"/>
      <c r="S273" s="127"/>
      <c r="T273" s="127"/>
      <c r="U273" s="127"/>
    </row>
    <row r="274" spans="4:21">
      <c r="D274" s="127"/>
      <c r="F274" s="127"/>
      <c r="G274" s="127"/>
      <c r="H274" s="127"/>
      <c r="K274" s="144"/>
      <c r="L274" s="127"/>
      <c r="M274" s="127"/>
      <c r="N274" s="127"/>
      <c r="O274" s="127"/>
      <c r="P274" s="127"/>
      <c r="Q274" s="127"/>
      <c r="R274" s="127"/>
      <c r="S274" s="127"/>
      <c r="T274" s="127"/>
      <c r="U274" s="127"/>
    </row>
    <row r="275" spans="4:21">
      <c r="D275" s="127"/>
      <c r="F275" s="127"/>
      <c r="G275" s="127"/>
      <c r="H275" s="127"/>
      <c r="K275" s="144"/>
      <c r="L275" s="127"/>
      <c r="M275" s="127"/>
      <c r="N275" s="127"/>
      <c r="O275" s="127"/>
      <c r="P275" s="127"/>
      <c r="Q275" s="127"/>
      <c r="R275" s="127"/>
      <c r="S275" s="127"/>
      <c r="T275" s="127"/>
      <c r="U275" s="127"/>
    </row>
    <row r="276" spans="4:21">
      <c r="D276" s="127"/>
      <c r="F276" s="127"/>
      <c r="G276" s="127"/>
      <c r="H276" s="127"/>
      <c r="K276" s="144"/>
      <c r="L276" s="127"/>
      <c r="M276" s="127"/>
      <c r="N276" s="127"/>
      <c r="O276" s="127"/>
      <c r="P276" s="127"/>
      <c r="Q276" s="127"/>
      <c r="R276" s="127"/>
      <c r="S276" s="127"/>
      <c r="T276" s="127"/>
      <c r="U276" s="127"/>
    </row>
    <row r="277" spans="4:21">
      <c r="D277" s="127"/>
      <c r="F277" s="127"/>
      <c r="G277" s="127"/>
      <c r="H277" s="127"/>
      <c r="K277" s="144"/>
      <c r="L277" s="127"/>
      <c r="M277" s="127"/>
      <c r="N277" s="127"/>
      <c r="O277" s="127"/>
      <c r="P277" s="127"/>
      <c r="Q277" s="127"/>
      <c r="R277" s="127"/>
      <c r="S277" s="127"/>
      <c r="T277" s="127"/>
      <c r="U277" s="127"/>
    </row>
    <row r="278" spans="4:21">
      <c r="D278" s="127"/>
      <c r="F278" s="127"/>
      <c r="G278" s="127"/>
      <c r="H278" s="127"/>
      <c r="K278" s="144"/>
      <c r="L278" s="127"/>
      <c r="M278" s="127"/>
      <c r="N278" s="127"/>
      <c r="O278" s="127"/>
      <c r="P278" s="127"/>
      <c r="Q278" s="127"/>
      <c r="R278" s="127"/>
      <c r="S278" s="127"/>
      <c r="T278" s="127"/>
      <c r="U278" s="127"/>
    </row>
    <row r="279" spans="4:21">
      <c r="D279" s="127"/>
      <c r="F279" s="127"/>
      <c r="G279" s="127"/>
      <c r="H279" s="127"/>
      <c r="K279" s="144"/>
      <c r="L279" s="127"/>
      <c r="M279" s="127"/>
      <c r="N279" s="127"/>
      <c r="O279" s="127"/>
      <c r="P279" s="127"/>
      <c r="Q279" s="127"/>
      <c r="R279" s="127"/>
      <c r="S279" s="127"/>
      <c r="T279" s="127"/>
      <c r="U279" s="127"/>
    </row>
    <row r="280" spans="4:21">
      <c r="D280" s="127"/>
      <c r="F280" s="127"/>
      <c r="G280" s="127"/>
      <c r="H280" s="127"/>
      <c r="K280" s="144"/>
      <c r="L280" s="127"/>
      <c r="M280" s="127"/>
      <c r="N280" s="127"/>
      <c r="O280" s="127"/>
      <c r="P280" s="127"/>
      <c r="Q280" s="127"/>
      <c r="R280" s="127"/>
      <c r="S280" s="127"/>
      <c r="T280" s="127"/>
      <c r="U280" s="127"/>
    </row>
    <row r="281" spans="4:21">
      <c r="D281" s="127"/>
      <c r="F281" s="127"/>
      <c r="G281" s="127"/>
      <c r="H281" s="127"/>
      <c r="K281" s="144"/>
      <c r="L281" s="127"/>
      <c r="M281" s="127"/>
      <c r="N281" s="127"/>
      <c r="O281" s="127"/>
      <c r="P281" s="127"/>
      <c r="Q281" s="127"/>
      <c r="R281" s="127"/>
      <c r="S281" s="127"/>
      <c r="T281" s="127"/>
      <c r="U281" s="127"/>
    </row>
    <row r="282" spans="4:21">
      <c r="D282" s="127"/>
      <c r="F282" s="127"/>
      <c r="G282" s="127"/>
      <c r="H282" s="127"/>
      <c r="K282" s="144"/>
      <c r="L282" s="127"/>
      <c r="M282" s="127"/>
      <c r="N282" s="127"/>
      <c r="O282" s="127"/>
      <c r="P282" s="127"/>
      <c r="Q282" s="127"/>
      <c r="R282" s="127"/>
      <c r="S282" s="127"/>
      <c r="T282" s="127"/>
      <c r="U282" s="127"/>
    </row>
    <row r="283" spans="4:21">
      <c r="F283" s="127"/>
      <c r="G283" s="127"/>
      <c r="H283" s="127"/>
      <c r="K283" s="144"/>
      <c r="L283" s="127"/>
      <c r="M283" s="127"/>
      <c r="N283" s="127"/>
      <c r="O283" s="127"/>
      <c r="P283" s="127"/>
      <c r="Q283" s="127"/>
      <c r="R283" s="127"/>
      <c r="S283" s="127"/>
      <c r="T283" s="127"/>
      <c r="U283" s="127"/>
    </row>
    <row r="284" spans="4:21">
      <c r="F284" s="127"/>
      <c r="G284" s="127"/>
      <c r="H284" s="127"/>
      <c r="K284" s="144"/>
      <c r="L284" s="127"/>
      <c r="M284" s="127"/>
      <c r="N284" s="127"/>
      <c r="O284" s="127"/>
      <c r="P284" s="127"/>
      <c r="Q284" s="127"/>
      <c r="R284" s="127"/>
      <c r="S284" s="127"/>
      <c r="T284" s="127"/>
      <c r="U284" s="127"/>
    </row>
    <row r="285" spans="4:21">
      <c r="F285" s="127"/>
      <c r="G285" s="127"/>
      <c r="H285" s="127"/>
      <c r="K285" s="144"/>
      <c r="L285" s="127"/>
      <c r="M285" s="127"/>
      <c r="N285" s="127"/>
      <c r="O285" s="127"/>
      <c r="P285" s="127"/>
      <c r="Q285" s="127"/>
      <c r="R285" s="127"/>
      <c r="S285" s="127"/>
      <c r="T285" s="127"/>
      <c r="U285" s="127"/>
    </row>
    <row r="286" spans="4:21">
      <c r="F286" s="127"/>
      <c r="G286" s="127"/>
      <c r="H286" s="127"/>
      <c r="K286" s="144"/>
      <c r="L286" s="127"/>
      <c r="M286" s="127"/>
      <c r="N286" s="127"/>
      <c r="O286" s="127"/>
      <c r="P286" s="127"/>
      <c r="Q286" s="127"/>
      <c r="R286" s="127"/>
      <c r="S286" s="127"/>
      <c r="T286" s="127"/>
      <c r="U286" s="127"/>
    </row>
    <row r="287" spans="4:21">
      <c r="F287" s="127"/>
      <c r="G287" s="127"/>
      <c r="H287" s="127"/>
      <c r="K287" s="144"/>
      <c r="L287" s="127"/>
      <c r="M287" s="127"/>
      <c r="N287" s="127"/>
      <c r="O287" s="127"/>
      <c r="P287" s="127"/>
      <c r="Q287" s="127"/>
      <c r="R287" s="127"/>
      <c r="S287" s="127"/>
      <c r="T287" s="127"/>
      <c r="U287" s="127"/>
    </row>
    <row r="288" spans="4:21">
      <c r="F288" s="127"/>
      <c r="G288" s="127"/>
      <c r="H288" s="127"/>
      <c r="K288" s="144"/>
      <c r="L288" s="127"/>
      <c r="M288" s="127"/>
      <c r="N288" s="127"/>
      <c r="O288" s="127"/>
      <c r="P288" s="127"/>
      <c r="Q288" s="127"/>
      <c r="R288" s="127"/>
      <c r="S288" s="127"/>
      <c r="T288" s="127"/>
      <c r="U288" s="127"/>
    </row>
    <row r="289" spans="6:21">
      <c r="F289" s="127"/>
      <c r="G289" s="127"/>
      <c r="H289" s="127"/>
      <c r="K289" s="144"/>
      <c r="L289" s="127"/>
      <c r="M289" s="127"/>
      <c r="N289" s="127"/>
      <c r="O289" s="127"/>
      <c r="P289" s="127"/>
      <c r="Q289" s="127"/>
      <c r="R289" s="127"/>
      <c r="S289" s="127"/>
      <c r="T289" s="127"/>
      <c r="U289" s="127"/>
    </row>
    <row r="290" spans="6:21">
      <c r="K290" s="144"/>
      <c r="L290" s="127"/>
      <c r="M290" s="127"/>
      <c r="N290" s="127"/>
      <c r="O290" s="127"/>
      <c r="P290" s="127"/>
      <c r="Q290" s="127"/>
      <c r="R290" s="127"/>
      <c r="S290" s="127"/>
      <c r="T290" s="127"/>
      <c r="U290" s="127"/>
    </row>
    <row r="291" spans="6:21">
      <c r="K291" s="144"/>
      <c r="L291" s="127"/>
      <c r="M291" s="127"/>
      <c r="N291" s="127"/>
      <c r="O291" s="127"/>
      <c r="P291" s="127"/>
      <c r="Q291" s="127"/>
      <c r="R291" s="127"/>
      <c r="S291" s="127"/>
      <c r="T291" s="127"/>
      <c r="U291" s="127"/>
    </row>
    <row r="292" spans="6:21">
      <c r="K292" s="144"/>
      <c r="L292" s="127"/>
      <c r="M292" s="127"/>
      <c r="N292" s="127"/>
      <c r="O292" s="127"/>
      <c r="P292" s="127"/>
      <c r="Q292" s="127"/>
      <c r="R292" s="127"/>
      <c r="S292" s="127"/>
      <c r="T292" s="127"/>
      <c r="U292" s="127"/>
    </row>
    <row r="293" spans="6:21">
      <c r="K293" s="144"/>
      <c r="L293" s="127"/>
      <c r="M293" s="127"/>
      <c r="N293" s="127"/>
      <c r="O293" s="127"/>
      <c r="P293" s="127"/>
      <c r="Q293" s="127"/>
      <c r="R293" s="127"/>
      <c r="S293" s="127"/>
      <c r="T293" s="127"/>
      <c r="U293" s="127"/>
    </row>
    <row r="294" spans="6:21">
      <c r="K294" s="144"/>
      <c r="L294" s="127"/>
      <c r="M294" s="127"/>
      <c r="N294" s="127"/>
      <c r="O294" s="127"/>
      <c r="P294" s="127"/>
      <c r="Q294" s="127"/>
      <c r="R294" s="127"/>
      <c r="S294" s="127"/>
      <c r="T294" s="127"/>
      <c r="U294" s="127"/>
    </row>
    <row r="295" spans="6:21">
      <c r="K295" s="144"/>
      <c r="L295" s="127"/>
      <c r="M295" s="127"/>
      <c r="N295" s="127"/>
      <c r="O295" s="127"/>
      <c r="P295" s="127"/>
      <c r="Q295" s="127"/>
      <c r="R295" s="127"/>
      <c r="S295" s="127"/>
      <c r="T295" s="127"/>
      <c r="U295" s="127"/>
    </row>
    <row r="296" spans="6:21">
      <c r="K296" s="144"/>
      <c r="L296" s="127"/>
      <c r="M296" s="127"/>
      <c r="N296" s="127"/>
      <c r="O296" s="127"/>
      <c r="P296" s="127"/>
      <c r="Q296" s="127"/>
      <c r="R296" s="127"/>
      <c r="S296" s="127"/>
      <c r="T296" s="127"/>
      <c r="U296" s="127"/>
    </row>
    <row r="297" spans="6:21">
      <c r="K297" s="144"/>
      <c r="L297" s="127"/>
      <c r="M297" s="127"/>
      <c r="N297" s="127"/>
      <c r="O297" s="127"/>
      <c r="P297" s="127"/>
      <c r="Q297" s="127"/>
      <c r="R297" s="127"/>
      <c r="S297" s="127"/>
      <c r="T297" s="127"/>
      <c r="U297" s="127"/>
    </row>
    <row r="298" spans="6:21">
      <c r="K298" s="144"/>
      <c r="L298" s="127"/>
      <c r="M298" s="127"/>
      <c r="N298" s="127"/>
      <c r="O298" s="127"/>
      <c r="P298" s="127"/>
      <c r="Q298" s="127"/>
      <c r="R298" s="127"/>
      <c r="S298" s="127"/>
      <c r="T298" s="127"/>
      <c r="U298" s="127"/>
    </row>
    <row r="299" spans="6:21">
      <c r="K299" s="144"/>
      <c r="L299" s="127"/>
      <c r="M299" s="127"/>
      <c r="N299" s="127"/>
      <c r="O299" s="127"/>
      <c r="P299" s="127"/>
      <c r="Q299" s="127"/>
      <c r="R299" s="127"/>
      <c r="S299" s="127"/>
      <c r="T299" s="127"/>
      <c r="U299" s="127"/>
    </row>
    <row r="300" spans="6:21">
      <c r="K300" s="144"/>
      <c r="L300" s="127"/>
      <c r="M300" s="127"/>
      <c r="N300" s="127"/>
      <c r="O300" s="127"/>
      <c r="P300" s="127"/>
      <c r="Q300" s="127"/>
      <c r="R300" s="127"/>
      <c r="S300" s="127"/>
      <c r="T300" s="127"/>
      <c r="U300" s="127"/>
    </row>
    <row r="301" spans="6:21">
      <c r="K301" s="144"/>
      <c r="L301" s="127"/>
      <c r="M301" s="127"/>
      <c r="N301" s="127"/>
      <c r="O301" s="127"/>
      <c r="P301" s="127"/>
      <c r="Q301" s="127"/>
      <c r="R301" s="127"/>
      <c r="S301" s="127"/>
      <c r="T301" s="127"/>
      <c r="U301" s="127"/>
    </row>
    <row r="302" spans="6:21">
      <c r="K302" s="144"/>
      <c r="L302" s="127"/>
      <c r="M302" s="127"/>
      <c r="N302" s="127"/>
      <c r="O302" s="127"/>
      <c r="P302" s="127"/>
      <c r="Q302" s="127"/>
      <c r="R302" s="127"/>
      <c r="S302" s="127"/>
      <c r="T302" s="127"/>
      <c r="U302" s="127"/>
    </row>
    <row r="303" spans="6:21">
      <c r="K303" s="144"/>
      <c r="L303" s="127"/>
      <c r="M303" s="127"/>
      <c r="N303" s="127"/>
      <c r="O303" s="127"/>
      <c r="P303" s="127"/>
      <c r="Q303" s="127"/>
      <c r="R303" s="127"/>
      <c r="S303" s="127"/>
      <c r="T303" s="127"/>
      <c r="U303" s="127"/>
    </row>
    <row r="304" spans="6:21">
      <c r="K304" s="144"/>
      <c r="L304" s="127"/>
      <c r="M304" s="127"/>
      <c r="N304" s="127"/>
      <c r="O304" s="127"/>
      <c r="P304" s="127"/>
      <c r="Q304" s="127"/>
      <c r="R304" s="127"/>
      <c r="S304" s="127"/>
      <c r="T304" s="127"/>
      <c r="U304" s="127"/>
    </row>
    <row r="305" spans="11:21">
      <c r="K305" s="144"/>
      <c r="L305" s="127"/>
      <c r="M305" s="127"/>
      <c r="N305" s="127"/>
      <c r="O305" s="127"/>
      <c r="P305" s="127"/>
      <c r="Q305" s="127"/>
      <c r="R305" s="127"/>
      <c r="S305" s="127"/>
      <c r="T305" s="127"/>
      <c r="U305" s="127"/>
    </row>
    <row r="306" spans="11:21">
      <c r="K306" s="144"/>
      <c r="L306" s="127"/>
      <c r="M306" s="127"/>
      <c r="N306" s="127"/>
      <c r="O306" s="127"/>
      <c r="P306" s="127"/>
      <c r="Q306" s="127"/>
      <c r="R306" s="127"/>
      <c r="S306" s="127"/>
      <c r="T306" s="127"/>
      <c r="U306" s="127"/>
    </row>
  </sheetData>
  <sheetProtection algorithmName="SHA-512" hashValue="ZR390yybADeeXWNjyuJMb4YbkYf2hQK+TgMbK5yo6iycX7OG5oRLeUrqXqD0LihEgKpJ2WP9qUGSyb5EEAJ8Nw==" saltValue="3PwkyjiS3CfOy9DZhGgUYA==" spinCount="100000" sheet="1" objects="1" scenarios="1"/>
  <mergeCells count="28">
    <mergeCell ref="M69:P69"/>
    <mergeCell ref="R69:S69"/>
    <mergeCell ref="AB66:AD66"/>
    <mergeCell ref="L135:O135"/>
    <mergeCell ref="AD90:AE90"/>
    <mergeCell ref="AD81:AE82"/>
    <mergeCell ref="AB67:AD67"/>
    <mergeCell ref="AB68:AB69"/>
    <mergeCell ref="E2:J2"/>
    <mergeCell ref="X50:AA50"/>
    <mergeCell ref="A1:F1"/>
    <mergeCell ref="H30:I30"/>
    <mergeCell ref="A4:C4"/>
    <mergeCell ref="E4:F4"/>
    <mergeCell ref="T7:U7"/>
    <mergeCell ref="A5:C5"/>
    <mergeCell ref="X39:AA39"/>
    <mergeCell ref="F22:I23"/>
    <mergeCell ref="E5:F5"/>
    <mergeCell ref="S42:T42"/>
    <mergeCell ref="H35:I35"/>
    <mergeCell ref="H36:I36"/>
    <mergeCell ref="AG29:AH29"/>
    <mergeCell ref="X51:AA63"/>
    <mergeCell ref="AB93:AD94"/>
    <mergeCell ref="AC68:AC69"/>
    <mergeCell ref="AD68:AD69"/>
    <mergeCell ref="V68:Y68"/>
  </mergeCells>
  <phoneticPr fontId="3" type="noConversion"/>
  <conditionalFormatting sqref="A99">
    <cfRule type="containsText" dxfId="43" priority="20" stopIfTrue="1" operator="containsText" text="HOLIDAY">
      <formula>NOT(ISERROR(SEARCH("HOLIDAY",A99)))</formula>
    </cfRule>
  </conditionalFormatting>
  <conditionalFormatting sqref="A101">
    <cfRule type="containsText" dxfId="42" priority="25" stopIfTrue="1" operator="containsText" text="HOLIDAY">
      <formula>NOT(ISERROR(SEARCH("HOLIDAY",A101)))</formula>
    </cfRule>
    <cfRule type="containsText" dxfId="41" priority="26" stopIfTrue="1" operator="containsText" text="Band">
      <formula>NOT(ISERROR(SEARCH("Band",A101)))</formula>
    </cfRule>
  </conditionalFormatting>
  <conditionalFormatting sqref="A106">
    <cfRule type="containsText" dxfId="40" priority="24" stopIfTrue="1" operator="containsText" text="HOLIDAY">
      <formula>NOT(ISERROR(SEARCH("HOLIDAY",A106)))</formula>
    </cfRule>
  </conditionalFormatting>
  <conditionalFormatting sqref="A113">
    <cfRule type="containsText" dxfId="39" priority="22" stopIfTrue="1" operator="containsText" text="HOLIDAY">
      <formula>NOT(ISERROR(SEARCH("HOLIDAY",A113)))</formula>
    </cfRule>
  </conditionalFormatting>
  <conditionalFormatting sqref="A122">
    <cfRule type="containsText" dxfId="38" priority="17" stopIfTrue="1" operator="containsText" text="holiday">
      <formula>NOT(ISERROR(SEARCH("holiday",A122)))</formula>
    </cfRule>
  </conditionalFormatting>
  <conditionalFormatting sqref="D37">
    <cfRule type="cellIs" dxfId="37" priority="180" operator="equal">
      <formula>$AE$37</formula>
    </cfRule>
  </conditionalFormatting>
  <conditionalFormatting sqref="D38">
    <cfRule type="expression" dxfId="36" priority="181">
      <formula>$D$38=$AE$38+$AE$39+$AE$40</formula>
    </cfRule>
  </conditionalFormatting>
  <conditionalFormatting sqref="D41">
    <cfRule type="cellIs" dxfId="35" priority="184" operator="equal">
      <formula>$AE$41</formula>
    </cfRule>
  </conditionalFormatting>
  <conditionalFormatting sqref="D44">
    <cfRule type="cellIs" dxfId="34" priority="185" operator="equal">
      <formula>$AE$44</formula>
    </cfRule>
  </conditionalFormatting>
  <conditionalFormatting sqref="D45">
    <cfRule type="cellIs" dxfId="33" priority="182" operator="equal">
      <formula>$AE$45</formula>
    </cfRule>
  </conditionalFormatting>
  <conditionalFormatting sqref="D46">
    <cfRule type="cellIs" dxfId="32" priority="186" operator="equal">
      <formula>$AE$46</formula>
    </cfRule>
  </conditionalFormatting>
  <conditionalFormatting sqref="D47">
    <cfRule type="cellIs" dxfId="31" priority="183" operator="equal">
      <formula>$AE$47</formula>
    </cfRule>
  </conditionalFormatting>
  <conditionalFormatting sqref="D53">
    <cfRule type="cellIs" dxfId="30" priority="187" operator="equal">
      <formula>$AE$53</formula>
    </cfRule>
  </conditionalFormatting>
  <conditionalFormatting sqref="D55">
    <cfRule type="cellIs" dxfId="29" priority="188" operator="equal">
      <formula>$AE$55</formula>
    </cfRule>
  </conditionalFormatting>
  <conditionalFormatting sqref="D58">
    <cfRule type="cellIs" dxfId="28" priority="189" operator="equal">
      <formula>$AE$58</formula>
    </cfRule>
  </conditionalFormatting>
  <conditionalFormatting sqref="D59">
    <cfRule type="cellIs" dxfId="27" priority="190" operator="equal">
      <formula>$AE$59</formula>
    </cfRule>
  </conditionalFormatting>
  <conditionalFormatting sqref="D87">
    <cfRule type="cellIs" dxfId="26" priority="3" operator="lessThan">
      <formula>0</formula>
    </cfRule>
  </conditionalFormatting>
  <conditionalFormatting sqref="D91">
    <cfRule type="cellIs" dxfId="25" priority="2" operator="lessThan">
      <formula>0</formula>
    </cfRule>
  </conditionalFormatting>
  <conditionalFormatting sqref="D93">
    <cfRule type="cellIs" dxfId="24" priority="1" operator="lessThan">
      <formula>0</formula>
    </cfRule>
  </conditionalFormatting>
  <conditionalFormatting sqref="D108">
    <cfRule type="expression" dxfId="23" priority="176" stopIfTrue="1">
      <formula>$D$108&lt;$M$125</formula>
    </cfRule>
    <cfRule type="expression" dxfId="22" priority="177" stopIfTrue="1">
      <formula>$D$108&gt;=$M$125</formula>
    </cfRule>
  </conditionalFormatting>
  <conditionalFormatting sqref="D114">
    <cfRule type="cellIs" dxfId="21" priority="19" stopIfTrue="1" operator="lessThan">
      <formula>0</formula>
    </cfRule>
  </conditionalFormatting>
  <conditionalFormatting sqref="D116">
    <cfRule type="expression" dxfId="20" priority="172" stopIfTrue="1">
      <formula>$D$116&lt;$M$125</formula>
    </cfRule>
    <cfRule type="expression" dxfId="19" priority="173" stopIfTrue="1">
      <formula>$D$116&gt;=$M$125</formula>
    </cfRule>
  </conditionalFormatting>
  <conditionalFormatting sqref="E108">
    <cfRule type="containsText" dxfId="18" priority="40" stopIfTrue="1" operator="containsText" text="FAIL">
      <formula>NOT(ISERROR(SEARCH("FAIL",E108)))</formula>
    </cfRule>
    <cfRule type="containsText" dxfId="17" priority="41" stopIfTrue="1" operator="containsText" text="PASS">
      <formula>NOT(ISERROR(SEARCH("PASS",E108)))</formula>
    </cfRule>
  </conditionalFormatting>
  <conditionalFormatting sqref="E116">
    <cfRule type="containsText" dxfId="16" priority="37" stopIfTrue="1" operator="containsText" text="PASS">
      <formula>NOT(ISERROR(SEARCH("PASS",E116)))</formula>
    </cfRule>
    <cfRule type="containsText" dxfId="15" priority="36" stopIfTrue="1" operator="containsText" text="FAIL">
      <formula>NOT(ISERROR(SEARCH("FAIL",E116)))</formula>
    </cfRule>
  </conditionalFormatting>
  <conditionalFormatting sqref="F22">
    <cfRule type="expression" dxfId="14" priority="32" stopIfTrue="1">
      <formula>$P$48&lt;$P$47</formula>
    </cfRule>
    <cfRule type="expression" dxfId="13" priority="31" stopIfTrue="1">
      <formula>$P$48&gt;$P$47</formula>
    </cfRule>
  </conditionalFormatting>
  <conditionalFormatting sqref="F106">
    <cfRule type="containsText" dxfId="12" priority="23" stopIfTrue="1" operator="containsText" text="HOLIDAY">
      <formula>NOT(ISERROR(SEARCH("HOLIDAY",F106)))</formula>
    </cfRule>
  </conditionalFormatting>
  <conditionalFormatting sqref="F113">
    <cfRule type="containsText" dxfId="11" priority="21" stopIfTrue="1" operator="containsText" text="HOLIDAY">
      <formula>NOT(ISERROR(SEARCH("HOLIDAY",F113)))</formula>
    </cfRule>
  </conditionalFormatting>
  <conditionalFormatting sqref="H5">
    <cfRule type="containsText" dxfId="10" priority="27" stopIfTrue="1" operator="containsText" text="Holiday">
      <formula>NOT(ISERROR(SEARCH("Holiday",H5)))</formula>
    </cfRule>
  </conditionalFormatting>
  <conditionalFormatting sqref="I108">
    <cfRule type="expression" dxfId="9" priority="178" stopIfTrue="1">
      <formula>$I$108&lt;$M$125</formula>
    </cfRule>
    <cfRule type="expression" dxfId="8" priority="179" stopIfTrue="1">
      <formula>$I$108&gt;=$M$125</formula>
    </cfRule>
  </conditionalFormatting>
  <conditionalFormatting sqref="I114">
    <cfRule type="cellIs" dxfId="7" priority="18" stopIfTrue="1" operator="lessThan">
      <formula>0</formula>
    </cfRule>
  </conditionalFormatting>
  <conditionalFormatting sqref="I116">
    <cfRule type="expression" dxfId="6" priority="175" stopIfTrue="1">
      <formula>$I$116&gt;=$M$125</formula>
    </cfRule>
    <cfRule type="expression" dxfId="5" priority="174" stopIfTrue="1">
      <formula>$I$116&lt;$M$125</formula>
    </cfRule>
  </conditionalFormatting>
  <conditionalFormatting sqref="J108">
    <cfRule type="containsText" dxfId="4" priority="38" stopIfTrue="1" operator="containsText" text="FAIL">
      <formula>NOT(ISERROR(SEARCH("FAIL",J108)))</formula>
    </cfRule>
    <cfRule type="containsText" dxfId="3" priority="39" stopIfTrue="1" operator="containsText" text="PASS">
      <formula>NOT(ISERROR(SEARCH("PASS",J108)))</formula>
    </cfRule>
  </conditionalFormatting>
  <conditionalFormatting sqref="J116">
    <cfRule type="containsText" dxfId="2" priority="34" stopIfTrue="1" operator="containsText" text="FAIL">
      <formula>NOT(ISERROR(SEARCH("FAIL",J116)))</formula>
    </cfRule>
    <cfRule type="containsText" dxfId="1" priority="35" stopIfTrue="1" operator="containsText" text="PASS">
      <formula>NOT(ISERROR(SEARCH("PASS",J116)))</formula>
    </cfRule>
  </conditionalFormatting>
  <conditionalFormatting sqref="V22">
    <cfRule type="containsText" dxfId="0" priority="33" stopIfTrue="1" operator="containsText" text="above">
      <formula>NOT(ISERROR(SEARCH("above",V22)))</formula>
    </cfRule>
  </conditionalFormatting>
  <dataValidations count="8">
    <dataValidation type="list" allowBlank="1" showInputMessage="1" showErrorMessage="1" sqref="F71:F78" xr:uid="{00000000-0002-0000-0100-000000000000}">
      <formula1>$O$84:$O$85</formula1>
    </dataValidation>
    <dataValidation type="list" allowBlank="1" showInputMessage="1" showErrorMessage="1" sqref="G71:G78" xr:uid="{00000000-0002-0000-0100-000001000000}">
      <formula1>$Q$84:$Q$88</formula1>
    </dataValidation>
    <dataValidation type="list" allowBlank="1" showInputMessage="1" showErrorMessage="1" sqref="B55 B47 T99:T104 I118 B45 T106 T108:T109 T134 I97" xr:uid="{00000000-0002-0000-0100-000002000000}">
      <formula1>$AH$55:$AH$56</formula1>
    </dataValidation>
    <dataValidation type="list" allowBlank="1" showInputMessage="1" showErrorMessage="1" sqref="I99" xr:uid="{00000000-0002-0000-0100-000003000000}">
      <formula1>$L$129:$L$131</formula1>
    </dataValidation>
    <dataValidation allowBlank="1" showInputMessage="1" showErrorMessage="1" promptTitle="HOLIDAY LETS ONLY" prompt="For Holiday Lets enter the expected ANNUAL GROSS RENTAL INCOME otherwise enter the expected Monthly Gross Rental Income." sqref="D99" xr:uid="{00000000-0002-0000-0100-000004000000}"/>
    <dataValidation type="list" allowBlank="1" showInputMessage="1" showErrorMessage="1" sqref="D25" xr:uid="{443D553A-4849-4F4A-B815-C53AC5A1397A}">
      <formula1>$M$26:$M$27</formula1>
    </dataValidation>
    <dataValidation type="list" allowBlank="1" showInputMessage="1" showErrorMessage="1" sqref="H73:H78" xr:uid="{94C18970-BB3F-4A67-8136-B62C06856CC9}">
      <formula1>$M$63:$M$64</formula1>
    </dataValidation>
    <dataValidation type="list" allowBlank="1" showInputMessage="1" showErrorMessage="1" sqref="C67" xr:uid="{CC973DA9-9F65-4C28-8235-AB2621A417A5}">
      <formula1>$K$63:$K$65</formula1>
    </dataValidation>
  </dataValidations>
  <pageMargins left="0.31496062992125984" right="0.39370078740157483" top="0.27559055118110237" bottom="0.19685039370078741" header="0.31496062992125984" footer="0.19685039370078741"/>
  <pageSetup paperSize="9" scale="65" fitToHeight="2" orientation="landscape" r:id="rId1"/>
  <headerFooter alignWithMargins="0"/>
  <rowBreaks count="1" manualBreakCount="1">
    <brk id="65" max="2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78"/>
  <sheetViews>
    <sheetView workbookViewId="0">
      <selection activeCell="I8" sqref="I8"/>
    </sheetView>
  </sheetViews>
  <sheetFormatPr defaultColWidth="9.109375" defaultRowHeight="13.2"/>
  <cols>
    <col min="1" max="3" width="9.109375" style="2"/>
    <col min="4" max="4" width="45" style="2" customWidth="1"/>
    <col min="5" max="16384" width="9.109375" style="2"/>
  </cols>
  <sheetData>
    <row r="1" spans="1:26">
      <c r="A1" s="1" t="s">
        <v>241</v>
      </c>
    </row>
    <row r="2" spans="1:26">
      <c r="A2" s="1"/>
    </row>
    <row r="3" spans="1:26" ht="18">
      <c r="A3" s="14" t="s">
        <v>243</v>
      </c>
    </row>
    <row r="5" spans="1:26" ht="14.4">
      <c r="A5" s="5" t="s">
        <v>244</v>
      </c>
    </row>
    <row r="7" spans="1:26" ht="18">
      <c r="A7" s="14" t="s">
        <v>242</v>
      </c>
    </row>
    <row r="8" spans="1:26" ht="18">
      <c r="A8" s="12"/>
    </row>
    <row r="9" spans="1:26" ht="14.4">
      <c r="A9" s="11" t="s">
        <v>293</v>
      </c>
    </row>
    <row r="10" spans="1:26" ht="14.4">
      <c r="A10" s="4" t="s">
        <v>245</v>
      </c>
      <c r="E10" s="5" t="s">
        <v>246</v>
      </c>
    </row>
    <row r="11" spans="1:26" ht="14.4">
      <c r="A11" s="6" t="s">
        <v>247</v>
      </c>
      <c r="E11" s="5" t="s">
        <v>248</v>
      </c>
    </row>
    <row r="12" spans="1:26" ht="14.4">
      <c r="A12" s="4" t="s">
        <v>45</v>
      </c>
      <c r="B12" s="5"/>
      <c r="C12" s="5"/>
      <c r="D12" s="5"/>
      <c r="E12" s="5" t="s">
        <v>249</v>
      </c>
      <c r="F12" s="5"/>
      <c r="G12" s="5"/>
      <c r="H12" s="5"/>
      <c r="I12" s="5"/>
      <c r="J12" s="5"/>
      <c r="K12" s="5"/>
      <c r="L12" s="5"/>
      <c r="M12" s="5"/>
      <c r="N12" s="5"/>
      <c r="O12" s="5"/>
      <c r="P12" s="5"/>
      <c r="Q12" s="5"/>
      <c r="R12" s="5"/>
      <c r="S12" s="5"/>
    </row>
    <row r="13" spans="1:26" ht="14.4">
      <c r="A13" s="4" t="s">
        <v>294</v>
      </c>
      <c r="B13" s="5"/>
      <c r="C13" s="5"/>
      <c r="D13" s="5"/>
      <c r="E13" s="5" t="s">
        <v>295</v>
      </c>
      <c r="F13" s="5"/>
      <c r="G13" s="5"/>
      <c r="H13" s="5"/>
      <c r="I13" s="5"/>
      <c r="J13" s="5"/>
      <c r="K13" s="5"/>
      <c r="L13" s="5"/>
      <c r="M13" s="5"/>
      <c r="N13" s="5"/>
      <c r="O13" s="5"/>
      <c r="P13" s="5"/>
      <c r="Q13" s="5"/>
      <c r="R13" s="5"/>
      <c r="S13" s="5"/>
    </row>
    <row r="14" spans="1:26" ht="14.4">
      <c r="A14" s="4"/>
      <c r="B14" s="5"/>
      <c r="C14" s="5"/>
      <c r="D14" s="5"/>
      <c r="E14" s="5"/>
      <c r="F14" s="5"/>
      <c r="G14" s="5"/>
      <c r="H14" s="5"/>
      <c r="I14" s="5"/>
      <c r="J14" s="5"/>
      <c r="K14" s="5"/>
      <c r="L14" s="5"/>
      <c r="M14" s="5"/>
      <c r="N14" s="5"/>
      <c r="O14" s="5"/>
      <c r="P14" s="5"/>
      <c r="Q14" s="5"/>
      <c r="R14" s="5"/>
      <c r="S14" s="5"/>
    </row>
    <row r="15" spans="1:26" ht="14.4">
      <c r="A15" s="11" t="s">
        <v>296</v>
      </c>
      <c r="B15" s="5"/>
      <c r="C15" s="5"/>
      <c r="D15" s="5"/>
      <c r="E15" s="5"/>
      <c r="F15" s="5"/>
      <c r="G15" s="5"/>
      <c r="H15" s="5"/>
      <c r="I15" s="5"/>
      <c r="J15" s="5"/>
      <c r="K15" s="5"/>
      <c r="L15" s="5"/>
      <c r="M15" s="5"/>
      <c r="N15" s="5"/>
      <c r="O15" s="5"/>
      <c r="P15" s="5"/>
      <c r="Q15" s="5"/>
      <c r="R15" s="5"/>
      <c r="S15" s="5"/>
      <c r="T15" s="7"/>
      <c r="U15" s="7"/>
      <c r="V15" s="7"/>
      <c r="W15" s="7"/>
      <c r="X15" s="7"/>
      <c r="Y15" s="7"/>
      <c r="Z15" s="7"/>
    </row>
    <row r="16" spans="1:26" ht="14.4">
      <c r="A16" s="4" t="s">
        <v>250</v>
      </c>
      <c r="B16" s="5"/>
      <c r="C16" s="5"/>
      <c r="D16" s="5"/>
      <c r="E16" s="5" t="s">
        <v>251</v>
      </c>
      <c r="F16" s="5"/>
      <c r="G16" s="5"/>
      <c r="H16" s="5"/>
      <c r="I16" s="5"/>
      <c r="J16" s="5"/>
      <c r="K16" s="5"/>
      <c r="L16" s="5"/>
      <c r="M16" s="5"/>
      <c r="N16" s="5"/>
      <c r="O16" s="5"/>
      <c r="P16" s="5"/>
      <c r="Q16" s="5"/>
      <c r="R16" s="5"/>
      <c r="S16" s="5"/>
    </row>
    <row r="17" spans="1:20" ht="14.4">
      <c r="A17" s="4"/>
      <c r="B17" s="5"/>
      <c r="C17" s="5"/>
      <c r="D17" s="5"/>
      <c r="E17" s="5"/>
      <c r="F17" s="5"/>
      <c r="G17" s="5"/>
      <c r="H17" s="5"/>
      <c r="I17" s="5"/>
      <c r="J17" s="5"/>
      <c r="K17" s="5"/>
      <c r="L17" s="5"/>
      <c r="M17" s="5"/>
      <c r="N17" s="5"/>
      <c r="O17" s="5"/>
      <c r="P17" s="5"/>
      <c r="Q17" s="5"/>
      <c r="R17" s="5"/>
      <c r="S17" s="5"/>
    </row>
    <row r="18" spans="1:20" ht="14.4">
      <c r="A18" s="11" t="s">
        <v>297</v>
      </c>
      <c r="B18" s="5"/>
      <c r="C18" s="5"/>
      <c r="D18" s="5"/>
      <c r="E18" s="5"/>
      <c r="F18" s="5"/>
      <c r="G18" s="5"/>
      <c r="H18" s="5"/>
      <c r="I18" s="5"/>
      <c r="J18" s="5"/>
      <c r="K18" s="5"/>
      <c r="L18" s="5"/>
      <c r="M18" s="5"/>
      <c r="N18" s="5"/>
      <c r="O18" s="5"/>
      <c r="P18" s="5"/>
      <c r="Q18" s="5"/>
      <c r="R18" s="5"/>
      <c r="S18" s="5"/>
    </row>
    <row r="19" spans="1:20" ht="14.4">
      <c r="A19" s="4" t="s">
        <v>206</v>
      </c>
      <c r="B19" s="5"/>
      <c r="C19" s="5"/>
      <c r="D19" s="5"/>
      <c r="E19" s="5" t="s">
        <v>252</v>
      </c>
      <c r="F19" s="5"/>
      <c r="G19" s="5"/>
      <c r="H19" s="5"/>
      <c r="I19" s="5"/>
      <c r="J19" s="5"/>
      <c r="K19" s="5"/>
      <c r="L19" s="5"/>
      <c r="M19" s="5"/>
      <c r="N19" s="5"/>
      <c r="O19" s="5"/>
      <c r="P19" s="5"/>
      <c r="Q19" s="5"/>
      <c r="R19" s="5"/>
      <c r="S19" s="5"/>
    </row>
    <row r="20" spans="1:20" ht="14.4">
      <c r="A20" s="4" t="s">
        <v>208</v>
      </c>
      <c r="B20" s="5"/>
      <c r="C20" s="5"/>
      <c r="D20" s="5"/>
      <c r="E20" s="5" t="s">
        <v>253</v>
      </c>
      <c r="F20" s="5"/>
      <c r="G20" s="5"/>
      <c r="H20" s="5"/>
      <c r="I20" s="5"/>
      <c r="J20" s="5"/>
      <c r="K20" s="5"/>
      <c r="L20" s="5"/>
      <c r="M20" s="5"/>
      <c r="N20" s="5"/>
      <c r="O20" s="5"/>
      <c r="P20" s="5"/>
      <c r="Q20" s="5"/>
      <c r="R20" s="5"/>
      <c r="S20" s="5"/>
    </row>
    <row r="21" spans="1:20" ht="14.4">
      <c r="A21" s="4"/>
      <c r="B21" s="5"/>
      <c r="C21" s="5"/>
      <c r="D21" s="5"/>
      <c r="E21" s="5"/>
      <c r="F21" s="5"/>
      <c r="G21" s="5"/>
      <c r="H21" s="5"/>
      <c r="I21" s="5"/>
      <c r="J21" s="5"/>
      <c r="K21" s="5"/>
      <c r="L21" s="5"/>
      <c r="M21" s="5"/>
      <c r="N21" s="5"/>
      <c r="O21" s="5"/>
      <c r="P21" s="5"/>
      <c r="Q21" s="5"/>
      <c r="R21" s="5"/>
      <c r="S21" s="5"/>
    </row>
    <row r="22" spans="1:20" ht="14.4">
      <c r="A22" s="4" t="s">
        <v>36</v>
      </c>
      <c r="B22" s="5"/>
      <c r="C22" s="5"/>
      <c r="D22" s="5"/>
      <c r="E22" s="5" t="s">
        <v>254</v>
      </c>
      <c r="F22" s="5"/>
      <c r="G22" s="5"/>
      <c r="H22" s="5"/>
      <c r="I22" s="5"/>
      <c r="J22" s="5"/>
      <c r="K22" s="5"/>
      <c r="L22" s="5"/>
      <c r="M22" s="5"/>
      <c r="N22" s="5"/>
      <c r="O22" s="5"/>
      <c r="P22" s="5"/>
      <c r="Q22" s="5"/>
      <c r="R22" s="5"/>
      <c r="S22" s="5"/>
    </row>
    <row r="23" spans="1:20" ht="14.4">
      <c r="A23" s="4"/>
      <c r="B23" s="5"/>
      <c r="C23" s="5"/>
      <c r="D23" s="5"/>
      <c r="E23" s="5"/>
      <c r="F23" s="5"/>
      <c r="G23" s="5"/>
      <c r="H23" s="5"/>
      <c r="I23" s="5"/>
      <c r="J23" s="5"/>
      <c r="K23" s="5"/>
      <c r="L23" s="5"/>
      <c r="M23" s="5"/>
      <c r="N23" s="5"/>
      <c r="O23" s="5"/>
      <c r="P23" s="5"/>
      <c r="Q23" s="5"/>
      <c r="R23" s="5"/>
      <c r="S23" s="5"/>
    </row>
    <row r="24" spans="1:20" ht="14.4">
      <c r="A24" s="11" t="s">
        <v>298</v>
      </c>
      <c r="B24" s="5"/>
      <c r="C24" s="5"/>
      <c r="D24" s="5"/>
      <c r="E24" s="5"/>
      <c r="F24" s="5"/>
      <c r="G24" s="5"/>
      <c r="H24" s="5"/>
      <c r="I24" s="5"/>
      <c r="J24" s="5"/>
      <c r="K24" s="5"/>
      <c r="L24" s="5"/>
      <c r="M24" s="5"/>
      <c r="N24" s="5"/>
      <c r="O24" s="5"/>
      <c r="P24" s="5"/>
      <c r="Q24" s="5"/>
      <c r="R24" s="5"/>
      <c r="S24" s="5"/>
    </row>
    <row r="25" spans="1:20" ht="14.4">
      <c r="A25" s="4" t="s">
        <v>93</v>
      </c>
      <c r="B25" s="5"/>
      <c r="C25" s="5"/>
      <c r="D25" s="5"/>
      <c r="E25" s="5" t="s">
        <v>255</v>
      </c>
      <c r="F25" s="5"/>
      <c r="G25" s="5"/>
      <c r="H25" s="5"/>
      <c r="I25" s="5"/>
      <c r="J25" s="5"/>
      <c r="K25" s="5"/>
      <c r="L25" s="5"/>
      <c r="M25" s="5"/>
      <c r="N25" s="5"/>
      <c r="O25" s="5"/>
      <c r="P25" s="5"/>
      <c r="Q25" s="5"/>
      <c r="R25" s="5"/>
      <c r="S25" s="5"/>
    </row>
    <row r="26" spans="1:20" ht="14.4">
      <c r="A26" s="4"/>
      <c r="B26" s="5"/>
      <c r="C26" s="5"/>
      <c r="D26" s="5"/>
      <c r="E26" s="5"/>
      <c r="F26" s="5"/>
      <c r="G26" s="5"/>
      <c r="H26" s="5"/>
      <c r="I26" s="5"/>
      <c r="J26" s="5"/>
      <c r="K26" s="5"/>
      <c r="L26" s="5"/>
      <c r="M26" s="5"/>
      <c r="N26" s="5"/>
      <c r="O26" s="5"/>
      <c r="P26" s="5"/>
      <c r="Q26" s="5"/>
      <c r="R26" s="5"/>
      <c r="S26" s="5"/>
    </row>
    <row r="27" spans="1:20" ht="14.4">
      <c r="A27" s="4" t="s">
        <v>256</v>
      </c>
      <c r="B27" s="5"/>
      <c r="C27" s="5"/>
      <c r="D27" s="5"/>
      <c r="E27" s="5" t="s">
        <v>257</v>
      </c>
      <c r="F27" s="5"/>
      <c r="G27" s="5"/>
      <c r="H27" s="5"/>
      <c r="I27" s="5"/>
      <c r="J27" s="5"/>
      <c r="K27" s="5"/>
      <c r="L27" s="5"/>
      <c r="M27" s="5"/>
      <c r="N27" s="5"/>
      <c r="O27" s="5"/>
      <c r="P27" s="5"/>
      <c r="Q27" s="5"/>
      <c r="R27" s="5"/>
      <c r="S27" s="5"/>
    </row>
    <row r="28" spans="1:20" ht="14.4">
      <c r="A28" s="4"/>
      <c r="B28" s="5"/>
      <c r="C28" s="5"/>
      <c r="D28" s="5"/>
      <c r="E28" s="5"/>
      <c r="F28" s="5"/>
      <c r="G28" s="5"/>
      <c r="H28" s="5"/>
      <c r="I28" s="5"/>
      <c r="J28" s="5"/>
      <c r="K28" s="5"/>
      <c r="L28" s="5"/>
      <c r="M28" s="5"/>
      <c r="N28" s="5"/>
      <c r="O28" s="5"/>
      <c r="P28" s="5"/>
      <c r="Q28" s="5"/>
      <c r="R28" s="5"/>
      <c r="S28" s="5"/>
    </row>
    <row r="29" spans="1:20" ht="18">
      <c r="A29" s="14" t="s">
        <v>258</v>
      </c>
      <c r="B29" s="7"/>
      <c r="C29" s="7"/>
      <c r="D29" s="7"/>
      <c r="E29" s="7"/>
      <c r="F29" s="7"/>
      <c r="G29" s="7"/>
      <c r="H29" s="7"/>
      <c r="I29" s="7"/>
      <c r="J29" s="7"/>
      <c r="K29" s="7"/>
      <c r="L29" s="7"/>
      <c r="M29" s="7"/>
      <c r="N29" s="7"/>
      <c r="O29" s="7"/>
      <c r="P29" s="7"/>
      <c r="Q29" s="7"/>
      <c r="R29" s="7"/>
      <c r="S29" s="7"/>
    </row>
    <row r="30" spans="1:20" ht="13.8">
      <c r="A30" s="7"/>
      <c r="B30" s="7"/>
      <c r="C30" s="7"/>
      <c r="D30" s="7"/>
      <c r="E30" s="7"/>
      <c r="F30" s="7"/>
      <c r="G30" s="7"/>
      <c r="H30" s="7"/>
      <c r="I30" s="7"/>
      <c r="J30" s="7"/>
      <c r="K30" s="7"/>
      <c r="L30" s="7"/>
      <c r="M30" s="7"/>
      <c r="N30" s="7"/>
      <c r="O30" s="7"/>
      <c r="P30" s="7"/>
      <c r="Q30" s="7"/>
      <c r="R30" s="7"/>
      <c r="S30" s="7"/>
    </row>
    <row r="31" spans="1:20" ht="14.4">
      <c r="A31" s="4" t="s">
        <v>259</v>
      </c>
      <c r="B31" s="7"/>
      <c r="C31" s="7"/>
      <c r="D31" s="7"/>
      <c r="E31" s="5" t="s">
        <v>260</v>
      </c>
      <c r="F31" s="5"/>
      <c r="G31" s="5"/>
      <c r="H31" s="5"/>
      <c r="I31" s="5"/>
      <c r="J31" s="5"/>
      <c r="K31" s="5"/>
      <c r="L31" s="5"/>
      <c r="M31" s="5"/>
      <c r="N31" s="5"/>
      <c r="O31" s="5"/>
      <c r="P31" s="5"/>
      <c r="Q31" s="5"/>
      <c r="R31" s="5"/>
      <c r="S31" s="5"/>
      <c r="T31" s="8"/>
    </row>
    <row r="32" spans="1:20" ht="14.4">
      <c r="A32" s="4" t="s">
        <v>261</v>
      </c>
      <c r="B32" s="7"/>
      <c r="C32" s="7"/>
      <c r="D32" s="7"/>
      <c r="E32" s="5" t="s">
        <v>342</v>
      </c>
      <c r="F32" s="5"/>
      <c r="G32" s="5"/>
      <c r="H32" s="5"/>
      <c r="I32" s="5"/>
      <c r="J32" s="5"/>
      <c r="K32" s="5"/>
      <c r="L32" s="5"/>
      <c r="M32" s="5"/>
      <c r="N32" s="5"/>
      <c r="O32" s="5"/>
      <c r="P32" s="5"/>
      <c r="Q32" s="5"/>
      <c r="R32" s="5"/>
      <c r="S32" s="5"/>
      <c r="T32" s="8"/>
    </row>
    <row r="33" spans="1:20" ht="14.4">
      <c r="A33" s="4" t="s">
        <v>262</v>
      </c>
      <c r="B33" s="7"/>
      <c r="C33" s="7"/>
      <c r="D33" s="7"/>
      <c r="E33" s="5" t="s">
        <v>263</v>
      </c>
      <c r="F33" s="5"/>
      <c r="G33" s="5"/>
      <c r="H33" s="5"/>
      <c r="I33" s="5"/>
      <c r="J33" s="5"/>
      <c r="K33" s="5"/>
      <c r="L33" s="5"/>
      <c r="M33" s="5"/>
      <c r="N33" s="5"/>
      <c r="O33" s="5"/>
      <c r="P33" s="5"/>
      <c r="Q33" s="5"/>
      <c r="R33" s="5"/>
      <c r="S33" s="5"/>
      <c r="T33" s="8"/>
    </row>
    <row r="34" spans="1:20" ht="14.4">
      <c r="A34" s="4" t="s">
        <v>264</v>
      </c>
      <c r="B34" s="7"/>
      <c r="C34" s="7"/>
      <c r="D34" s="7"/>
      <c r="E34" s="5" t="s">
        <v>343</v>
      </c>
      <c r="F34" s="5"/>
      <c r="G34" s="5"/>
      <c r="H34" s="5"/>
      <c r="I34" s="5"/>
      <c r="J34" s="5"/>
      <c r="K34" s="5"/>
      <c r="L34" s="5"/>
      <c r="M34" s="5"/>
      <c r="N34" s="5"/>
      <c r="O34" s="5"/>
      <c r="P34" s="5"/>
      <c r="Q34" s="5"/>
      <c r="R34" s="5"/>
      <c r="S34" s="5"/>
      <c r="T34" s="8"/>
    </row>
    <row r="35" spans="1:20" ht="14.4">
      <c r="B35" s="5"/>
      <c r="C35" s="5"/>
      <c r="D35" s="5"/>
      <c r="E35" s="5"/>
      <c r="F35" s="5"/>
      <c r="G35" s="5"/>
      <c r="H35" s="5"/>
      <c r="I35" s="5"/>
      <c r="J35" s="5"/>
      <c r="K35" s="5"/>
      <c r="L35" s="5"/>
      <c r="M35" s="5"/>
      <c r="N35" s="5"/>
      <c r="O35" s="5"/>
      <c r="P35" s="5"/>
      <c r="Q35" s="5"/>
      <c r="R35" s="7"/>
      <c r="S35" s="7"/>
    </row>
    <row r="36" spans="1:20" ht="14.4">
      <c r="A36" s="11" t="s">
        <v>265</v>
      </c>
      <c r="R36" s="7"/>
      <c r="S36" s="7"/>
    </row>
    <row r="37" spans="1:20" ht="14.4">
      <c r="A37" s="4" t="s">
        <v>122</v>
      </c>
      <c r="E37" s="5" t="s">
        <v>299</v>
      </c>
      <c r="R37" s="7"/>
      <c r="S37" s="7"/>
    </row>
    <row r="38" spans="1:20" ht="14.4">
      <c r="A38" s="6" t="s">
        <v>27</v>
      </c>
      <c r="B38" s="5"/>
      <c r="C38" s="5"/>
      <c r="D38" s="5"/>
      <c r="E38" s="5" t="s">
        <v>266</v>
      </c>
      <c r="F38" s="5"/>
      <c r="G38" s="5"/>
      <c r="H38" s="5"/>
      <c r="I38" s="5"/>
      <c r="J38" s="5"/>
      <c r="K38" s="5"/>
      <c r="L38" s="5"/>
      <c r="M38" s="5"/>
      <c r="N38" s="5"/>
      <c r="O38" s="5"/>
      <c r="P38" s="5"/>
      <c r="Q38" s="5"/>
      <c r="R38" s="7"/>
      <c r="S38" s="7"/>
    </row>
    <row r="39" spans="1:20" ht="14.4">
      <c r="A39" s="4" t="s">
        <v>267</v>
      </c>
      <c r="B39" s="5"/>
      <c r="C39" s="5"/>
      <c r="D39" s="5"/>
      <c r="E39" s="5" t="s">
        <v>268</v>
      </c>
      <c r="F39" s="5"/>
      <c r="G39" s="5"/>
      <c r="H39" s="5"/>
      <c r="I39" s="5"/>
      <c r="J39" s="5"/>
      <c r="K39" s="5"/>
      <c r="L39" s="5"/>
      <c r="M39" s="5"/>
      <c r="N39" s="5"/>
      <c r="O39" s="5"/>
      <c r="P39" s="5"/>
      <c r="Q39" s="5"/>
      <c r="R39" s="7"/>
      <c r="S39" s="7"/>
    </row>
    <row r="40" spans="1:20" ht="14.4">
      <c r="A40" s="4" t="s">
        <v>269</v>
      </c>
      <c r="B40" s="5"/>
      <c r="C40" s="5"/>
      <c r="D40" s="5"/>
      <c r="E40" s="5" t="s">
        <v>270</v>
      </c>
      <c r="F40" s="5"/>
      <c r="G40" s="5"/>
      <c r="H40" s="5"/>
      <c r="I40" s="5"/>
      <c r="J40" s="5"/>
      <c r="K40" s="5"/>
      <c r="L40" s="5"/>
      <c r="M40" s="5"/>
      <c r="N40" s="5"/>
      <c r="O40" s="5"/>
      <c r="P40" s="5"/>
      <c r="Q40" s="5"/>
      <c r="R40" s="7"/>
      <c r="S40" s="7"/>
    </row>
    <row r="41" spans="1:20" ht="14.4">
      <c r="A41" s="4" t="s">
        <v>229</v>
      </c>
      <c r="B41" s="5"/>
      <c r="C41" s="5"/>
      <c r="D41" s="5"/>
      <c r="E41" s="5" t="s">
        <v>271</v>
      </c>
      <c r="F41" s="5"/>
      <c r="G41" s="5"/>
      <c r="H41" s="5"/>
      <c r="I41" s="5"/>
      <c r="J41" s="5"/>
      <c r="K41" s="5"/>
      <c r="L41" s="5"/>
      <c r="M41" s="5"/>
      <c r="N41" s="5"/>
      <c r="O41" s="5"/>
      <c r="P41" s="5"/>
      <c r="Q41" s="5"/>
      <c r="R41" s="7"/>
      <c r="S41" s="7"/>
    </row>
    <row r="42" spans="1:20" ht="14.4">
      <c r="A42" s="4" t="s">
        <v>300</v>
      </c>
      <c r="B42" s="5"/>
      <c r="C42" s="5"/>
      <c r="D42" s="5"/>
      <c r="E42" s="5" t="s">
        <v>272</v>
      </c>
      <c r="F42" s="5"/>
      <c r="G42" s="5"/>
      <c r="H42" s="5"/>
      <c r="I42" s="5"/>
      <c r="J42" s="5"/>
      <c r="K42" s="5"/>
      <c r="L42" s="5"/>
      <c r="M42" s="5"/>
      <c r="N42" s="5"/>
      <c r="O42" s="5"/>
      <c r="P42" s="5"/>
      <c r="Q42" s="5"/>
      <c r="R42" s="7"/>
      <c r="S42" s="7"/>
    </row>
    <row r="43" spans="1:20" ht="13.8">
      <c r="R43" s="7"/>
      <c r="S43" s="7"/>
    </row>
    <row r="44" spans="1:20" ht="14.4">
      <c r="A44" s="11" t="s">
        <v>28</v>
      </c>
      <c r="B44" s="5"/>
      <c r="C44" s="5"/>
      <c r="D44" s="5"/>
      <c r="E44" s="5"/>
      <c r="F44" s="5"/>
      <c r="G44" s="5"/>
      <c r="H44" s="5"/>
      <c r="I44" s="5"/>
      <c r="J44" s="5"/>
      <c r="K44" s="5"/>
      <c r="L44" s="5"/>
      <c r="M44" s="5"/>
      <c r="N44" s="5"/>
      <c r="O44" s="5"/>
      <c r="P44" s="5"/>
      <c r="Q44" s="5"/>
      <c r="R44" s="7"/>
      <c r="S44" s="7"/>
    </row>
    <row r="45" spans="1:20" ht="14.4">
      <c r="A45" s="4" t="s">
        <v>301</v>
      </c>
      <c r="B45" s="5"/>
      <c r="C45" s="5"/>
      <c r="D45" s="5"/>
      <c r="E45" s="5" t="s">
        <v>302</v>
      </c>
      <c r="F45" s="5"/>
      <c r="G45" s="5"/>
      <c r="H45" s="5"/>
      <c r="I45" s="5"/>
      <c r="J45" s="5"/>
      <c r="K45" s="5"/>
      <c r="L45" s="5"/>
      <c r="M45" s="5"/>
      <c r="N45" s="5"/>
      <c r="O45" s="5"/>
      <c r="P45" s="5"/>
      <c r="Q45" s="5"/>
      <c r="R45" s="7"/>
      <c r="S45" s="7"/>
    </row>
    <row r="46" spans="1:20" ht="14.4">
      <c r="A46" s="4" t="s">
        <v>273</v>
      </c>
      <c r="B46" s="5"/>
      <c r="C46" s="5"/>
      <c r="D46" s="5"/>
      <c r="E46" s="5" t="s">
        <v>274</v>
      </c>
      <c r="F46" s="5"/>
      <c r="G46" s="5"/>
      <c r="H46" s="5"/>
      <c r="I46" s="5"/>
      <c r="J46" s="5"/>
      <c r="K46" s="5"/>
      <c r="L46" s="5"/>
      <c r="M46" s="5"/>
      <c r="N46" s="5"/>
      <c r="O46" s="5"/>
      <c r="P46" s="5"/>
      <c r="Q46" s="5"/>
      <c r="R46" s="7"/>
      <c r="S46" s="7"/>
    </row>
    <row r="47" spans="1:20" ht="14.4">
      <c r="A47" s="4" t="s">
        <v>275</v>
      </c>
      <c r="B47" s="5"/>
      <c r="C47" s="5"/>
      <c r="D47" s="5"/>
      <c r="E47" s="5" t="s">
        <v>276</v>
      </c>
      <c r="F47" s="5"/>
      <c r="G47" s="5"/>
      <c r="H47" s="5"/>
      <c r="I47" s="5"/>
      <c r="J47" s="5"/>
      <c r="K47" s="5"/>
      <c r="L47" s="5"/>
      <c r="M47" s="5"/>
      <c r="N47" s="5"/>
      <c r="O47" s="5"/>
      <c r="P47" s="5"/>
      <c r="Q47" s="5"/>
      <c r="R47" s="7"/>
      <c r="S47" s="7"/>
    </row>
    <row r="48" spans="1:20" ht="14.4">
      <c r="A48" s="4" t="s">
        <v>303</v>
      </c>
      <c r="B48" s="5"/>
      <c r="C48" s="5"/>
      <c r="D48" s="5"/>
      <c r="E48" s="5" t="s">
        <v>304</v>
      </c>
      <c r="F48" s="5"/>
      <c r="G48" s="5"/>
      <c r="H48" s="5"/>
      <c r="I48" s="5"/>
      <c r="J48" s="5"/>
      <c r="K48" s="5"/>
      <c r="L48" s="5"/>
      <c r="M48" s="5"/>
      <c r="N48" s="5"/>
      <c r="O48" s="5"/>
      <c r="P48" s="5"/>
      <c r="Q48" s="5"/>
      <c r="R48" s="7"/>
      <c r="S48" s="7"/>
    </row>
    <row r="49" spans="1:20" ht="14.4">
      <c r="A49" s="4" t="s">
        <v>307</v>
      </c>
      <c r="B49" s="5"/>
      <c r="C49" s="5"/>
      <c r="D49" s="5"/>
      <c r="E49" s="5" t="s">
        <v>308</v>
      </c>
      <c r="F49" s="5"/>
      <c r="G49" s="5"/>
      <c r="H49" s="5"/>
      <c r="I49" s="5"/>
      <c r="J49" s="5"/>
      <c r="K49" s="5"/>
      <c r="L49" s="5"/>
      <c r="M49" s="5"/>
      <c r="N49" s="5"/>
      <c r="O49" s="5"/>
      <c r="P49" s="5"/>
      <c r="Q49" s="5"/>
      <c r="R49" s="7"/>
      <c r="S49" s="7"/>
    </row>
    <row r="50" spans="1:20" ht="14.4">
      <c r="A50" s="4" t="s">
        <v>305</v>
      </c>
      <c r="B50" s="5"/>
      <c r="C50" s="5"/>
      <c r="D50" s="5"/>
      <c r="E50" s="5" t="s">
        <v>306</v>
      </c>
      <c r="F50" s="5"/>
      <c r="G50" s="5"/>
      <c r="H50" s="5"/>
      <c r="I50" s="5"/>
      <c r="J50" s="5"/>
      <c r="K50" s="5"/>
      <c r="L50" s="5"/>
      <c r="M50" s="5"/>
      <c r="N50" s="5"/>
      <c r="O50" s="5"/>
      <c r="P50" s="5"/>
      <c r="Q50" s="5"/>
      <c r="R50" s="7"/>
      <c r="S50" s="7"/>
    </row>
    <row r="51" spans="1:20" ht="14.4">
      <c r="A51" s="4" t="s">
        <v>30</v>
      </c>
      <c r="B51" s="5"/>
      <c r="C51" s="5"/>
      <c r="D51" s="5"/>
      <c r="E51" s="5" t="s">
        <v>309</v>
      </c>
      <c r="F51" s="5"/>
      <c r="G51" s="5"/>
      <c r="H51" s="5"/>
      <c r="I51" s="5"/>
      <c r="J51" s="5"/>
      <c r="K51" s="5"/>
      <c r="L51" s="5"/>
      <c r="M51" s="5"/>
      <c r="N51" s="5"/>
      <c r="O51" s="5"/>
      <c r="P51" s="5"/>
      <c r="Q51" s="5"/>
      <c r="R51" s="7"/>
      <c r="S51" s="7"/>
    </row>
    <row r="52" spans="1:20" ht="14.4">
      <c r="A52" s="4" t="s">
        <v>310</v>
      </c>
      <c r="B52" s="5"/>
      <c r="C52" s="5"/>
      <c r="D52" s="5"/>
      <c r="E52" s="5" t="s">
        <v>311</v>
      </c>
      <c r="F52" s="5"/>
      <c r="G52" s="5"/>
      <c r="H52" s="5"/>
      <c r="I52" s="5"/>
      <c r="J52" s="5"/>
      <c r="K52" s="5"/>
      <c r="L52" s="5"/>
      <c r="M52" s="5"/>
      <c r="N52" s="5"/>
      <c r="O52" s="5"/>
      <c r="P52" s="5"/>
      <c r="Q52" s="5"/>
      <c r="R52" s="7"/>
      <c r="S52" s="7"/>
    </row>
    <row r="53" spans="1:20" ht="14.4">
      <c r="A53" s="4" t="s">
        <v>277</v>
      </c>
      <c r="B53" s="5"/>
      <c r="C53" s="5"/>
      <c r="D53" s="5"/>
      <c r="E53" s="5" t="s">
        <v>278</v>
      </c>
      <c r="F53" s="5"/>
      <c r="G53" s="5"/>
      <c r="H53" s="5"/>
      <c r="I53" s="5"/>
      <c r="J53" s="5"/>
      <c r="K53" s="5"/>
      <c r="L53" s="5"/>
      <c r="M53" s="5"/>
      <c r="N53" s="5"/>
      <c r="O53" s="5"/>
      <c r="P53" s="5"/>
      <c r="Q53" s="5"/>
      <c r="R53" s="7"/>
      <c r="S53" s="7"/>
    </row>
    <row r="54" spans="1:20" ht="14.4">
      <c r="A54" s="4"/>
      <c r="B54" s="5"/>
      <c r="C54" s="5"/>
      <c r="D54" s="5"/>
      <c r="E54" s="5"/>
      <c r="F54" s="5"/>
      <c r="G54" s="5"/>
      <c r="H54" s="5"/>
      <c r="I54" s="5"/>
      <c r="J54" s="5"/>
      <c r="K54" s="5"/>
      <c r="L54" s="5"/>
      <c r="M54" s="5"/>
      <c r="N54" s="5"/>
      <c r="O54" s="5"/>
      <c r="P54" s="5"/>
      <c r="Q54" s="5"/>
      <c r="R54" s="7"/>
      <c r="S54" s="7"/>
    </row>
    <row r="55" spans="1:20" ht="14.4">
      <c r="A55" s="11" t="s">
        <v>31</v>
      </c>
      <c r="B55" s="5"/>
      <c r="C55" s="5"/>
      <c r="D55" s="5"/>
      <c r="E55" s="5"/>
      <c r="F55" s="5"/>
      <c r="G55" s="5"/>
      <c r="H55" s="5"/>
      <c r="I55" s="5"/>
      <c r="J55" s="5"/>
      <c r="K55" s="5"/>
      <c r="L55" s="5"/>
      <c r="M55" s="5"/>
      <c r="N55" s="5"/>
      <c r="O55" s="5"/>
      <c r="P55" s="5"/>
      <c r="Q55" s="5"/>
      <c r="R55" s="7"/>
      <c r="S55" s="7"/>
    </row>
    <row r="56" spans="1:20" ht="14.4">
      <c r="A56" s="4" t="s">
        <v>279</v>
      </c>
      <c r="B56" s="5"/>
      <c r="C56" s="5"/>
      <c r="D56" s="5"/>
      <c r="E56" s="5" t="s">
        <v>280</v>
      </c>
      <c r="F56" s="5"/>
      <c r="G56" s="5"/>
      <c r="H56" s="5"/>
      <c r="I56" s="5"/>
      <c r="J56" s="5"/>
      <c r="K56" s="5"/>
      <c r="L56" s="5"/>
      <c r="M56" s="5"/>
      <c r="N56" s="5"/>
      <c r="O56" s="5"/>
      <c r="P56" s="5"/>
      <c r="Q56" s="5"/>
      <c r="R56" s="7"/>
      <c r="S56" s="7"/>
    </row>
    <row r="57" spans="1:20" ht="14.4">
      <c r="A57" s="4" t="s">
        <v>281</v>
      </c>
      <c r="E57" s="5" t="s">
        <v>282</v>
      </c>
      <c r="S57" s="7"/>
      <c r="T57" s="2" t="s">
        <v>32</v>
      </c>
    </row>
    <row r="58" spans="1:20" ht="14.4">
      <c r="A58" s="4" t="s">
        <v>312</v>
      </c>
      <c r="E58" s="5" t="s">
        <v>280</v>
      </c>
      <c r="S58" s="7"/>
    </row>
    <row r="59" spans="1:20" ht="14.4">
      <c r="A59" s="4"/>
      <c r="E59" s="5"/>
      <c r="S59" s="7"/>
    </row>
    <row r="60" spans="1:20" ht="14.4">
      <c r="A60" s="4" t="s">
        <v>149</v>
      </c>
      <c r="E60" s="5" t="s">
        <v>283</v>
      </c>
      <c r="S60" s="7"/>
    </row>
    <row r="61" spans="1:20" ht="14.4">
      <c r="B61" s="5"/>
      <c r="C61" s="5"/>
      <c r="D61" s="5"/>
      <c r="E61" s="5"/>
      <c r="F61" s="5"/>
      <c r="G61" s="5"/>
      <c r="H61" s="5"/>
      <c r="I61" s="5"/>
      <c r="J61" s="5"/>
      <c r="K61" s="5"/>
      <c r="L61" s="5"/>
      <c r="M61" s="5"/>
      <c r="N61" s="5"/>
      <c r="O61" s="5"/>
      <c r="P61" s="5"/>
      <c r="Q61" s="5"/>
      <c r="R61" s="7"/>
      <c r="S61" s="7"/>
    </row>
    <row r="62" spans="1:20" ht="14.4">
      <c r="A62" s="4" t="s">
        <v>98</v>
      </c>
      <c r="B62" s="5"/>
      <c r="C62" s="5"/>
      <c r="D62" s="5"/>
      <c r="E62" s="5" t="s">
        <v>344</v>
      </c>
      <c r="F62" s="5"/>
      <c r="G62" s="5"/>
      <c r="H62" s="5"/>
      <c r="I62" s="5"/>
      <c r="J62" s="5"/>
      <c r="K62" s="5"/>
      <c r="L62" s="5"/>
      <c r="M62" s="5"/>
      <c r="N62" s="5"/>
      <c r="O62" s="5"/>
      <c r="P62" s="5"/>
      <c r="Q62" s="5"/>
      <c r="R62" s="7"/>
      <c r="S62" s="7"/>
    </row>
    <row r="63" spans="1:20" ht="14.4">
      <c r="A63" s="4"/>
      <c r="B63" s="5"/>
      <c r="C63" s="5"/>
      <c r="D63" s="5"/>
      <c r="E63" s="5"/>
      <c r="F63" s="5"/>
      <c r="G63" s="5"/>
      <c r="H63" s="5"/>
      <c r="I63" s="5"/>
      <c r="J63" s="5"/>
      <c r="K63" s="5"/>
      <c r="L63" s="5"/>
      <c r="M63" s="5"/>
      <c r="N63" s="5"/>
      <c r="O63" s="5"/>
      <c r="P63" s="5"/>
      <c r="Q63" s="5"/>
      <c r="R63" s="7"/>
      <c r="S63" s="7"/>
    </row>
    <row r="64" spans="1:20" ht="14.4">
      <c r="A64" s="11" t="s">
        <v>313</v>
      </c>
      <c r="B64" s="7"/>
      <c r="C64" s="7"/>
      <c r="D64" s="7"/>
      <c r="E64" s="7"/>
      <c r="F64" s="7"/>
      <c r="G64" s="7"/>
      <c r="H64" s="7"/>
      <c r="I64" s="7"/>
      <c r="J64" s="7"/>
      <c r="K64" s="7"/>
      <c r="L64" s="7"/>
      <c r="M64" s="7"/>
      <c r="N64" s="7"/>
      <c r="O64" s="7"/>
      <c r="P64" s="7"/>
      <c r="Q64" s="7"/>
      <c r="R64" s="7"/>
      <c r="S64" s="7"/>
    </row>
    <row r="65" spans="1:25" ht="14.4">
      <c r="A65" s="4" t="s">
        <v>284</v>
      </c>
      <c r="B65" s="7"/>
      <c r="C65" s="7"/>
      <c r="D65" s="7"/>
      <c r="E65" s="5" t="s">
        <v>285</v>
      </c>
      <c r="F65" s="7"/>
      <c r="G65" s="7"/>
      <c r="H65" s="7"/>
      <c r="I65" s="7"/>
      <c r="J65" s="7"/>
      <c r="K65" s="7"/>
      <c r="L65" s="7"/>
      <c r="M65" s="7"/>
      <c r="N65" s="7"/>
      <c r="O65" s="7"/>
      <c r="P65" s="7"/>
      <c r="Q65" s="7"/>
      <c r="R65" s="7"/>
      <c r="S65" s="7"/>
    </row>
    <row r="66" spans="1:25" ht="14.4">
      <c r="A66" s="4"/>
      <c r="B66" s="7"/>
      <c r="C66" s="7"/>
      <c r="D66" s="7"/>
      <c r="E66" s="5" t="s">
        <v>314</v>
      </c>
      <c r="F66" s="7"/>
      <c r="G66" s="7"/>
      <c r="H66" s="7"/>
      <c r="I66" s="7"/>
      <c r="J66" s="7"/>
      <c r="K66" s="7"/>
      <c r="L66" s="7"/>
      <c r="M66" s="7"/>
      <c r="N66" s="7"/>
      <c r="O66" s="7"/>
      <c r="P66" s="7"/>
      <c r="Q66" s="7"/>
      <c r="R66" s="7"/>
      <c r="S66" s="7"/>
    </row>
    <row r="67" spans="1:25" ht="14.4">
      <c r="A67" s="4" t="s">
        <v>172</v>
      </c>
      <c r="B67" s="7"/>
      <c r="C67" s="7"/>
      <c r="D67" s="7"/>
      <c r="E67" s="5" t="s">
        <v>286</v>
      </c>
      <c r="F67" s="7"/>
      <c r="G67" s="7"/>
      <c r="H67" s="7"/>
      <c r="I67" s="7"/>
      <c r="J67" s="7"/>
      <c r="K67" s="7"/>
      <c r="L67" s="7"/>
      <c r="M67" s="7"/>
      <c r="N67" s="7"/>
      <c r="O67" s="7"/>
      <c r="P67" s="7"/>
      <c r="Q67" s="7"/>
      <c r="R67" s="7"/>
      <c r="S67" s="7"/>
    </row>
    <row r="68" spans="1:25" ht="14.4">
      <c r="A68" s="4" t="s">
        <v>171</v>
      </c>
      <c r="B68" s="7"/>
      <c r="C68" s="7"/>
      <c r="D68" s="7"/>
      <c r="E68" s="5" t="s">
        <v>287</v>
      </c>
      <c r="F68" s="7"/>
      <c r="G68" s="7"/>
      <c r="H68" s="7"/>
      <c r="I68" s="7"/>
      <c r="J68" s="7"/>
      <c r="K68" s="7"/>
      <c r="L68" s="7"/>
      <c r="M68" s="7"/>
      <c r="N68" s="7"/>
      <c r="O68" s="7"/>
      <c r="P68" s="7"/>
      <c r="Q68" s="7"/>
      <c r="R68" s="7"/>
      <c r="S68" s="7"/>
    </row>
    <row r="69" spans="1:25" ht="14.4">
      <c r="A69" s="4" t="s">
        <v>288</v>
      </c>
      <c r="B69" s="7"/>
      <c r="C69" s="7"/>
      <c r="D69" s="7"/>
      <c r="E69" s="5" t="s">
        <v>289</v>
      </c>
      <c r="F69" s="7"/>
      <c r="G69" s="7"/>
      <c r="H69" s="7"/>
      <c r="I69" s="7"/>
      <c r="J69" s="7"/>
      <c r="K69" s="7"/>
      <c r="L69" s="7"/>
      <c r="M69" s="7"/>
      <c r="N69" s="7"/>
      <c r="O69" s="7"/>
      <c r="P69" s="7"/>
      <c r="Q69" s="7"/>
      <c r="R69" s="7"/>
      <c r="S69" s="7"/>
    </row>
    <row r="70" spans="1:25" ht="14.4">
      <c r="A70" s="4"/>
      <c r="B70" s="7"/>
      <c r="C70" s="7"/>
      <c r="D70" s="7"/>
      <c r="E70" s="5"/>
      <c r="F70" s="7"/>
      <c r="G70" s="7"/>
      <c r="H70" s="7"/>
      <c r="I70" s="7"/>
      <c r="J70" s="7"/>
      <c r="K70" s="7"/>
      <c r="L70" s="7"/>
      <c r="M70" s="7"/>
      <c r="N70" s="7"/>
      <c r="O70" s="7"/>
      <c r="P70" s="7"/>
      <c r="Q70" s="7"/>
      <c r="R70" s="7"/>
      <c r="S70" s="7"/>
    </row>
    <row r="71" spans="1:25" ht="14.4">
      <c r="A71" s="6" t="s">
        <v>193</v>
      </c>
      <c r="B71" s="7"/>
      <c r="C71" s="7"/>
      <c r="D71" s="7"/>
      <c r="E71" s="5" t="s">
        <v>290</v>
      </c>
      <c r="F71" s="7"/>
      <c r="G71" s="7"/>
      <c r="H71" s="7"/>
      <c r="I71" s="7"/>
      <c r="J71" s="7"/>
      <c r="K71" s="7"/>
      <c r="L71" s="7"/>
      <c r="M71" s="7"/>
      <c r="N71" s="7"/>
      <c r="O71" s="7"/>
      <c r="P71" s="7"/>
      <c r="Q71" s="7"/>
      <c r="R71" s="7"/>
      <c r="S71" s="7"/>
    </row>
    <row r="72" spans="1:25" ht="14.4">
      <c r="A72" s="4"/>
      <c r="B72" s="7"/>
      <c r="C72" s="7"/>
      <c r="D72" s="7"/>
      <c r="E72" s="5"/>
      <c r="F72" s="7"/>
      <c r="G72" s="7"/>
      <c r="H72" s="7"/>
      <c r="I72" s="7"/>
      <c r="J72" s="7"/>
      <c r="K72" s="7"/>
      <c r="L72" s="7"/>
      <c r="M72" s="7"/>
      <c r="N72" s="7"/>
      <c r="O72" s="7"/>
      <c r="P72" s="7"/>
      <c r="Q72" s="7"/>
      <c r="R72" s="7"/>
      <c r="S72" s="7"/>
    </row>
    <row r="73" spans="1:25" ht="14.4">
      <c r="A73" s="4" t="s">
        <v>194</v>
      </c>
      <c r="B73" s="7"/>
      <c r="C73" s="7"/>
      <c r="D73" s="7"/>
      <c r="E73" s="5" t="s">
        <v>291</v>
      </c>
      <c r="F73" s="7"/>
      <c r="G73" s="7"/>
      <c r="H73" s="7"/>
      <c r="I73" s="7"/>
      <c r="J73" s="7"/>
      <c r="K73" s="7"/>
      <c r="L73" s="7"/>
      <c r="M73" s="7"/>
      <c r="N73" s="7"/>
      <c r="O73" s="7"/>
      <c r="P73" s="7"/>
      <c r="Q73" s="7"/>
      <c r="R73" s="7"/>
      <c r="S73" s="7"/>
    </row>
    <row r="74" spans="1:25" ht="14.4">
      <c r="A74" s="4"/>
      <c r="B74" s="7"/>
      <c r="C74" s="7"/>
      <c r="D74" s="7"/>
      <c r="E74" s="5"/>
      <c r="F74" s="7"/>
      <c r="G74" s="7"/>
      <c r="H74" s="7"/>
      <c r="I74" s="7"/>
      <c r="J74" s="7"/>
      <c r="K74" s="7"/>
      <c r="L74" s="7"/>
      <c r="M74" s="7"/>
      <c r="N74" s="7"/>
      <c r="O74" s="3"/>
      <c r="P74" s="7"/>
      <c r="Q74" s="7"/>
      <c r="R74" s="7"/>
      <c r="S74" s="7"/>
    </row>
    <row r="75" spans="1:25" customFormat="1" ht="14.4">
      <c r="A75" s="15" t="s">
        <v>357</v>
      </c>
      <c r="B75" s="7"/>
      <c r="C75" s="7"/>
      <c r="D75" s="7"/>
      <c r="E75" s="5"/>
      <c r="F75" s="7"/>
      <c r="G75" s="7"/>
      <c r="H75" s="7"/>
      <c r="I75" s="7"/>
      <c r="J75" s="7"/>
      <c r="K75" s="7"/>
      <c r="L75" s="7"/>
      <c r="M75" s="7"/>
      <c r="N75" s="7"/>
      <c r="O75" s="7"/>
      <c r="P75" s="7"/>
      <c r="Q75" s="7"/>
      <c r="R75" s="7"/>
      <c r="S75" s="7"/>
      <c r="T75" s="2"/>
      <c r="U75" s="2"/>
      <c r="V75" s="2"/>
      <c r="W75" s="2"/>
      <c r="X75" s="2"/>
      <c r="Y75" s="2"/>
    </row>
    <row r="76" spans="1:25" customFormat="1" ht="14.4">
      <c r="A76" s="4"/>
      <c r="B76" s="7"/>
      <c r="C76" s="7"/>
      <c r="D76" s="7"/>
      <c r="E76" s="5"/>
      <c r="F76" s="7"/>
      <c r="G76" s="7"/>
      <c r="H76" s="7"/>
      <c r="I76" s="7"/>
      <c r="J76" s="7"/>
      <c r="K76" s="7"/>
      <c r="L76" s="7"/>
      <c r="M76" s="7"/>
      <c r="N76" s="7"/>
      <c r="O76" s="7"/>
      <c r="P76" s="7"/>
      <c r="Q76" s="7"/>
      <c r="R76" s="7"/>
      <c r="S76" s="7"/>
      <c r="T76" s="2"/>
      <c r="U76" s="2"/>
      <c r="V76" s="2"/>
      <c r="W76" s="2"/>
      <c r="X76" s="2"/>
      <c r="Y76" s="2"/>
    </row>
    <row r="77" spans="1:25" customFormat="1" ht="14.4">
      <c r="A77" s="6" t="s">
        <v>201</v>
      </c>
      <c r="B77" s="7"/>
      <c r="C77" s="7"/>
      <c r="D77" s="7"/>
      <c r="F77" s="7"/>
      <c r="G77" s="7"/>
      <c r="H77" s="7"/>
      <c r="I77" s="7"/>
      <c r="J77" s="7"/>
      <c r="K77" s="7"/>
      <c r="L77" s="7"/>
      <c r="M77" s="7"/>
      <c r="N77" s="7"/>
      <c r="O77" s="7"/>
      <c r="P77" s="7"/>
      <c r="Q77" s="7"/>
      <c r="R77" s="7"/>
      <c r="S77" s="7"/>
      <c r="T77" s="2"/>
      <c r="U77" s="2"/>
      <c r="V77" s="2"/>
      <c r="W77" s="2"/>
      <c r="X77" s="2"/>
      <c r="Y77" s="2"/>
    </row>
    <row r="78" spans="1:25" customFormat="1" ht="14.4">
      <c r="A78" s="6"/>
      <c r="B78" s="7"/>
      <c r="C78" s="7"/>
      <c r="D78" s="7"/>
      <c r="F78" s="7"/>
      <c r="G78" s="7"/>
      <c r="H78" s="7"/>
      <c r="I78" s="7"/>
      <c r="J78" s="7"/>
      <c r="K78" s="7"/>
      <c r="L78" s="7"/>
      <c r="M78" s="7"/>
      <c r="N78" s="7"/>
      <c r="O78" s="7"/>
      <c r="P78" s="7"/>
      <c r="Q78" s="7"/>
      <c r="R78" s="7"/>
      <c r="S78" s="7"/>
      <c r="T78" s="2"/>
      <c r="U78" s="2"/>
      <c r="V78" s="2"/>
      <c r="W78" s="2"/>
      <c r="X78" s="2"/>
      <c r="Y78" s="2"/>
    </row>
    <row r="79" spans="1:25" customFormat="1" ht="14.4">
      <c r="A79" s="16" t="s">
        <v>195</v>
      </c>
      <c r="B79" s="7"/>
      <c r="C79" s="7"/>
      <c r="D79" s="7"/>
      <c r="E79" s="5" t="s">
        <v>361</v>
      </c>
      <c r="F79" s="7"/>
      <c r="G79" s="7"/>
      <c r="H79" s="7"/>
      <c r="I79" s="7"/>
      <c r="J79" s="7"/>
      <c r="K79" s="7"/>
      <c r="L79" s="7"/>
      <c r="M79" s="7"/>
      <c r="N79" s="7"/>
      <c r="O79" s="7"/>
      <c r="P79" s="7"/>
      <c r="Q79" s="7"/>
      <c r="R79" s="7"/>
      <c r="S79" s="7"/>
      <c r="T79" s="2"/>
      <c r="U79" s="2"/>
      <c r="V79" s="2"/>
      <c r="W79" s="2"/>
      <c r="X79" s="2"/>
      <c r="Y79" s="2"/>
    </row>
    <row r="80" spans="1:25" customFormat="1" ht="14.4">
      <c r="A80" s="16"/>
      <c r="B80" s="7"/>
      <c r="C80" s="7"/>
      <c r="D80" s="7"/>
      <c r="E80" s="5"/>
      <c r="F80" s="7"/>
      <c r="G80" s="7"/>
      <c r="H80" s="7"/>
      <c r="I80" s="7"/>
      <c r="J80" s="7"/>
      <c r="K80" s="7"/>
      <c r="L80" s="7"/>
      <c r="M80" s="7"/>
      <c r="N80" s="7"/>
      <c r="O80" s="7"/>
      <c r="P80" s="7"/>
      <c r="Q80" s="7"/>
      <c r="R80" s="7"/>
      <c r="S80" s="7"/>
      <c r="T80" s="2"/>
      <c r="U80" s="2"/>
      <c r="V80" s="2"/>
      <c r="W80" s="2"/>
      <c r="X80" s="2"/>
      <c r="Y80" s="2"/>
    </row>
    <row r="81" spans="1:25" customFormat="1" ht="14.4">
      <c r="A81" s="17" t="s">
        <v>383</v>
      </c>
      <c r="B81" s="7"/>
      <c r="C81" s="7"/>
      <c r="D81" s="7"/>
      <c r="E81" s="5" t="s">
        <v>386</v>
      </c>
      <c r="F81" s="7"/>
      <c r="G81" s="7"/>
      <c r="H81" s="7"/>
      <c r="I81" s="7"/>
      <c r="J81" s="7"/>
      <c r="K81" s="7"/>
      <c r="L81" s="7"/>
      <c r="M81" s="7"/>
      <c r="N81" s="7"/>
      <c r="O81" s="7"/>
      <c r="P81" s="7"/>
      <c r="Q81" s="7"/>
      <c r="R81" s="7"/>
      <c r="S81" s="7"/>
      <c r="T81" s="2"/>
      <c r="U81" s="2"/>
      <c r="V81" s="2"/>
      <c r="W81" s="2"/>
      <c r="X81" s="2"/>
      <c r="Y81" s="2"/>
    </row>
    <row r="82" spans="1:25" customFormat="1" ht="14.4">
      <c r="A82" s="6"/>
      <c r="B82" s="7"/>
      <c r="C82" s="7"/>
      <c r="D82" s="7"/>
      <c r="E82" s="5"/>
      <c r="F82" s="7"/>
      <c r="G82" s="7"/>
      <c r="H82" s="7"/>
      <c r="I82" s="7"/>
      <c r="J82" s="7"/>
      <c r="K82" s="7"/>
      <c r="L82" s="7"/>
      <c r="M82" s="7"/>
      <c r="N82" s="7"/>
      <c r="O82" s="7"/>
      <c r="P82" s="7"/>
      <c r="Q82" s="7"/>
      <c r="R82" s="7"/>
      <c r="S82" s="7"/>
      <c r="T82" s="2"/>
      <c r="U82" s="2"/>
      <c r="V82" s="2"/>
      <c r="W82" s="2"/>
      <c r="X82" s="2"/>
      <c r="Y82" s="2"/>
    </row>
    <row r="83" spans="1:25" customFormat="1" ht="14.4">
      <c r="A83" s="17" t="s">
        <v>187</v>
      </c>
      <c r="B83" s="18"/>
      <c r="C83" s="18"/>
      <c r="D83" s="18"/>
      <c r="E83" s="19" t="s">
        <v>362</v>
      </c>
      <c r="F83" s="18"/>
      <c r="G83" s="18"/>
      <c r="H83" s="18"/>
      <c r="I83" s="18"/>
      <c r="J83" s="18"/>
      <c r="K83" s="18"/>
      <c r="L83" s="18"/>
      <c r="M83" s="18"/>
      <c r="N83" s="18"/>
      <c r="O83" s="18"/>
      <c r="P83" s="18"/>
      <c r="Q83" s="18"/>
      <c r="R83" s="18"/>
      <c r="S83" s="7"/>
      <c r="T83" s="2"/>
      <c r="U83" s="2"/>
      <c r="V83" s="2"/>
      <c r="W83" s="2"/>
      <c r="X83" s="2"/>
      <c r="Y83" s="2"/>
    </row>
    <row r="84" spans="1:25" customFormat="1" ht="14.4">
      <c r="A84" s="6"/>
      <c r="B84" s="18"/>
      <c r="C84" s="18"/>
      <c r="D84" s="18"/>
      <c r="E84" s="20" t="s">
        <v>363</v>
      </c>
      <c r="F84" s="21"/>
      <c r="G84" s="22"/>
      <c r="H84" s="18"/>
      <c r="I84" s="23">
        <v>0.2</v>
      </c>
      <c r="J84" s="18"/>
      <c r="K84" s="18"/>
      <c r="L84" s="18"/>
      <c r="M84" s="18"/>
      <c r="N84" s="18"/>
      <c r="O84" s="18"/>
      <c r="P84" s="18"/>
      <c r="Q84" s="18"/>
      <c r="R84" s="18"/>
      <c r="S84" s="7"/>
      <c r="T84" s="2"/>
      <c r="U84" s="2"/>
      <c r="V84" s="2"/>
      <c r="W84" s="2"/>
      <c r="X84" s="2"/>
      <c r="Y84" s="2"/>
    </row>
    <row r="85" spans="1:25" customFormat="1" ht="14.4">
      <c r="A85" s="6"/>
      <c r="B85" s="18"/>
      <c r="C85" s="18"/>
      <c r="D85" s="18"/>
      <c r="E85" s="20" t="s">
        <v>364</v>
      </c>
      <c r="F85" s="21"/>
      <c r="G85" s="22"/>
      <c r="H85" s="18"/>
      <c r="I85" s="23">
        <v>0.4</v>
      </c>
      <c r="J85" s="18"/>
      <c r="K85" s="18"/>
      <c r="L85" s="18"/>
      <c r="M85" s="18"/>
      <c r="N85" s="18"/>
      <c r="O85" s="18"/>
      <c r="P85" s="18"/>
      <c r="Q85" s="18"/>
      <c r="R85" s="18"/>
      <c r="S85" s="7"/>
      <c r="T85" s="2"/>
      <c r="U85" s="2"/>
      <c r="V85" s="2"/>
      <c r="W85" s="2"/>
      <c r="X85" s="2"/>
      <c r="Y85" s="2"/>
    </row>
    <row r="86" spans="1:25" customFormat="1" ht="14.4">
      <c r="A86" s="6"/>
      <c r="B86" s="18"/>
      <c r="C86" s="18"/>
      <c r="D86" s="18"/>
      <c r="E86" s="19" t="s">
        <v>365</v>
      </c>
      <c r="F86" s="18"/>
      <c r="G86" s="18"/>
      <c r="H86" s="18"/>
      <c r="I86" s="23">
        <v>0.45</v>
      </c>
      <c r="J86" s="18"/>
      <c r="K86" s="18"/>
      <c r="L86" s="18"/>
      <c r="M86" s="18"/>
      <c r="N86" s="18"/>
      <c r="O86" s="18"/>
      <c r="P86" s="18"/>
      <c r="Q86" s="18"/>
      <c r="R86" s="18"/>
      <c r="S86" s="7"/>
      <c r="T86" s="2"/>
      <c r="U86" s="2"/>
      <c r="V86" s="2"/>
      <c r="W86" s="2"/>
      <c r="X86" s="2"/>
      <c r="Y86" s="2"/>
    </row>
    <row r="87" spans="1:25" customFormat="1" ht="14.4">
      <c r="A87" s="6"/>
      <c r="B87" s="18"/>
      <c r="C87" s="18"/>
      <c r="D87" s="18"/>
      <c r="E87" s="19"/>
      <c r="F87" s="18"/>
      <c r="G87" s="18"/>
      <c r="H87" s="18"/>
      <c r="I87" s="18"/>
      <c r="J87" s="18"/>
      <c r="K87" s="18"/>
      <c r="L87" s="18"/>
      <c r="M87" s="18"/>
      <c r="N87" s="18"/>
      <c r="O87" s="18"/>
      <c r="P87" s="18"/>
      <c r="Q87" s="18"/>
      <c r="R87" s="18"/>
      <c r="S87" s="7"/>
      <c r="T87" s="2"/>
      <c r="U87" s="2"/>
      <c r="V87" s="2"/>
      <c r="W87" s="2"/>
      <c r="X87" s="2"/>
      <c r="Y87" s="2"/>
    </row>
    <row r="88" spans="1:25" customFormat="1" ht="14.4">
      <c r="A88" s="6" t="s">
        <v>292</v>
      </c>
      <c r="B88" s="7"/>
      <c r="C88" s="7"/>
      <c r="D88" s="7"/>
      <c r="E88" s="5" t="s">
        <v>366</v>
      </c>
      <c r="F88" s="7"/>
      <c r="G88" s="7"/>
      <c r="H88" s="7"/>
      <c r="I88" s="7"/>
      <c r="J88" s="7"/>
      <c r="K88" s="7"/>
      <c r="L88" s="7"/>
      <c r="M88" s="7"/>
      <c r="N88" s="7"/>
      <c r="O88" s="7"/>
      <c r="P88" s="7"/>
      <c r="Q88" s="7"/>
      <c r="R88" s="7"/>
      <c r="S88" s="7"/>
      <c r="T88" s="2"/>
      <c r="U88" s="2"/>
      <c r="V88" s="2"/>
      <c r="W88" s="2"/>
      <c r="X88" s="2"/>
      <c r="Y88" s="2"/>
    </row>
    <row r="89" spans="1:25" customFormat="1" ht="14.4">
      <c r="A89" s="6"/>
      <c r="B89" s="7"/>
      <c r="C89" s="7"/>
      <c r="D89" s="7"/>
      <c r="E89" s="5"/>
      <c r="F89" s="7"/>
      <c r="G89" s="7"/>
      <c r="H89" s="7"/>
      <c r="I89" s="7"/>
      <c r="J89" s="7"/>
      <c r="K89" s="7"/>
      <c r="L89" s="7"/>
      <c r="M89" s="7"/>
      <c r="N89" s="7"/>
      <c r="O89" s="7"/>
      <c r="P89" s="7"/>
      <c r="Q89" s="7"/>
      <c r="R89" s="7"/>
      <c r="S89" s="7"/>
      <c r="T89" s="2"/>
      <c r="U89" s="2"/>
      <c r="V89" s="2"/>
      <c r="W89" s="2"/>
      <c r="X89" s="2"/>
      <c r="Y89" s="2"/>
    </row>
    <row r="90" spans="1:25" customFormat="1" ht="14.4">
      <c r="A90" s="6"/>
      <c r="B90" s="7"/>
      <c r="C90" s="7"/>
      <c r="D90" s="7"/>
      <c r="E90" s="20" t="s">
        <v>363</v>
      </c>
      <c r="F90" s="7"/>
      <c r="G90" s="7"/>
      <c r="H90" s="7"/>
      <c r="I90" s="23">
        <v>0.2</v>
      </c>
      <c r="K90" s="5" t="s">
        <v>367</v>
      </c>
      <c r="L90" s="7"/>
      <c r="M90" s="7"/>
      <c r="N90" s="7"/>
      <c r="O90" s="7"/>
      <c r="P90" s="7"/>
      <c r="Q90" s="7"/>
      <c r="R90" s="7"/>
      <c r="S90" s="7"/>
      <c r="T90" s="2"/>
      <c r="U90" s="2"/>
      <c r="V90" s="2"/>
      <c r="W90" s="2"/>
      <c r="X90" s="2"/>
      <c r="Y90" s="2"/>
    </row>
    <row r="91" spans="1:25" customFormat="1" ht="14.4">
      <c r="A91" s="6"/>
      <c r="B91" s="7"/>
      <c r="C91" s="7"/>
      <c r="D91" s="7"/>
      <c r="E91" s="20" t="s">
        <v>364</v>
      </c>
      <c r="F91" s="7"/>
      <c r="G91" s="7"/>
      <c r="H91" s="7"/>
      <c r="I91" s="23">
        <v>0.4</v>
      </c>
      <c r="K91" s="5" t="s">
        <v>368</v>
      </c>
      <c r="L91" s="7"/>
      <c r="M91" s="7"/>
      <c r="N91" s="7"/>
      <c r="O91" s="7"/>
      <c r="P91" s="7"/>
      <c r="Q91" s="7"/>
      <c r="R91" s="7"/>
      <c r="S91" s="7"/>
      <c r="T91" s="2"/>
      <c r="U91" s="2"/>
      <c r="V91" s="2"/>
      <c r="W91" s="2"/>
      <c r="X91" s="2"/>
      <c r="Y91" s="2"/>
    </row>
    <row r="92" spans="1:25" customFormat="1" ht="14.4">
      <c r="A92" s="6"/>
      <c r="B92" s="7"/>
      <c r="C92" s="7"/>
      <c r="D92" s="7"/>
      <c r="E92" s="19" t="s">
        <v>365</v>
      </c>
      <c r="F92" s="7"/>
      <c r="G92" s="7"/>
      <c r="H92" s="7"/>
      <c r="I92" s="23">
        <v>0.45</v>
      </c>
      <c r="K92" s="5" t="s">
        <v>368</v>
      </c>
      <c r="L92" s="7"/>
      <c r="M92" s="7"/>
      <c r="N92" s="7"/>
      <c r="O92" s="7"/>
      <c r="P92" s="7"/>
      <c r="Q92" s="7"/>
      <c r="R92" s="7"/>
      <c r="S92" s="7"/>
      <c r="T92" s="2"/>
      <c r="U92" s="2"/>
      <c r="V92" s="2"/>
      <c r="W92" s="2"/>
      <c r="X92" s="2"/>
      <c r="Y92" s="2"/>
    </row>
    <row r="93" spans="1:25" customFormat="1" ht="14.4">
      <c r="A93" s="6"/>
      <c r="B93" s="7"/>
      <c r="C93" s="7"/>
      <c r="D93" s="7"/>
      <c r="E93" s="5"/>
      <c r="F93" s="7"/>
      <c r="G93" s="7"/>
      <c r="H93" s="7"/>
      <c r="I93" s="7"/>
      <c r="J93" s="7"/>
      <c r="K93" s="7"/>
      <c r="L93" s="7"/>
      <c r="M93" s="7"/>
      <c r="N93" s="7"/>
      <c r="O93" s="7"/>
      <c r="P93" s="7"/>
      <c r="Q93" s="7"/>
      <c r="R93" s="7"/>
      <c r="S93" s="7"/>
      <c r="T93" s="2"/>
      <c r="U93" s="2"/>
      <c r="V93" s="2"/>
      <c r="W93" s="2"/>
      <c r="X93" s="2"/>
      <c r="Y93" s="2"/>
    </row>
    <row r="94" spans="1:25" customFormat="1" ht="14.4">
      <c r="A94" s="6" t="s">
        <v>198</v>
      </c>
      <c r="B94" s="7"/>
      <c r="C94" s="7"/>
      <c r="D94" s="7"/>
      <c r="E94" s="9" t="s">
        <v>369</v>
      </c>
      <c r="F94" s="7"/>
      <c r="G94" s="7"/>
      <c r="H94" s="7"/>
      <c r="I94" s="7"/>
      <c r="J94" s="7"/>
      <c r="K94" s="7"/>
      <c r="L94" s="7"/>
      <c r="M94" s="7"/>
      <c r="N94" s="7"/>
      <c r="O94" s="7"/>
      <c r="P94" s="7"/>
      <c r="Q94" s="7"/>
      <c r="R94" s="7"/>
      <c r="S94" s="7"/>
      <c r="T94" s="2"/>
      <c r="U94" s="2"/>
      <c r="V94" s="2"/>
      <c r="W94" s="2"/>
      <c r="X94" s="2"/>
      <c r="Y94" s="2"/>
    </row>
    <row r="95" spans="1:25" customFormat="1" ht="14.4">
      <c r="A95" s="6"/>
      <c r="B95" s="7"/>
      <c r="C95" s="7"/>
      <c r="D95" s="7"/>
      <c r="E95" s="9"/>
      <c r="F95" s="7"/>
      <c r="G95" s="7"/>
      <c r="H95" s="7"/>
      <c r="I95" s="7"/>
      <c r="J95" s="7"/>
      <c r="K95" s="7"/>
      <c r="L95" s="7"/>
      <c r="M95" s="7"/>
      <c r="N95" s="7"/>
      <c r="O95" s="7"/>
      <c r="P95" s="7"/>
      <c r="Q95" s="7"/>
      <c r="R95" s="7"/>
      <c r="S95" s="7"/>
      <c r="T95" s="2"/>
      <c r="U95" s="2"/>
      <c r="V95" s="2"/>
      <c r="W95" s="2"/>
      <c r="X95" s="2"/>
      <c r="Y95" s="2"/>
    </row>
    <row r="96" spans="1:25" customFormat="1" ht="14.4">
      <c r="A96" s="6"/>
      <c r="B96" s="7"/>
      <c r="C96" s="7"/>
      <c r="D96" s="7"/>
      <c r="E96" s="5" t="s">
        <v>370</v>
      </c>
      <c r="F96" s="7"/>
      <c r="G96" s="7"/>
      <c r="H96" s="7"/>
      <c r="I96" s="7"/>
      <c r="J96" s="7"/>
      <c r="K96" s="7"/>
      <c r="L96" s="7"/>
      <c r="M96" s="7"/>
      <c r="N96" s="7"/>
      <c r="O96" s="7"/>
      <c r="P96" s="7"/>
      <c r="Q96" s="7"/>
      <c r="R96" s="7"/>
      <c r="S96" s="7"/>
      <c r="T96" s="2"/>
      <c r="U96" s="2"/>
      <c r="V96" s="2"/>
      <c r="W96" s="2"/>
      <c r="X96" s="2"/>
      <c r="Y96" s="2"/>
    </row>
    <row r="97" spans="1:25" customFormat="1" ht="14.4">
      <c r="A97" s="6"/>
      <c r="B97" s="7"/>
      <c r="C97" s="7"/>
      <c r="D97" s="7"/>
      <c r="E97" s="5" t="s">
        <v>371</v>
      </c>
      <c r="F97" s="7"/>
      <c r="G97" s="7"/>
      <c r="H97" s="7"/>
      <c r="I97" s="7"/>
      <c r="J97" s="7"/>
      <c r="K97" s="7"/>
      <c r="L97" s="7"/>
      <c r="M97" s="7"/>
      <c r="N97" s="7"/>
      <c r="O97" s="7"/>
      <c r="P97" s="7"/>
      <c r="Q97" s="7"/>
      <c r="R97" s="7"/>
      <c r="S97" s="1" t="s">
        <v>32</v>
      </c>
      <c r="T97" s="2"/>
      <c r="U97" s="2"/>
      <c r="V97" s="2"/>
      <c r="W97" s="2"/>
      <c r="X97" s="2"/>
      <c r="Y97" s="2"/>
    </row>
    <row r="98" spans="1:25" customFormat="1" ht="14.4">
      <c r="A98" s="6"/>
      <c r="B98" s="7"/>
      <c r="C98" s="7"/>
      <c r="D98" s="7"/>
      <c r="E98" s="5"/>
      <c r="F98" s="7"/>
      <c r="G98" s="7"/>
      <c r="H98" s="7"/>
      <c r="I98" s="7"/>
      <c r="J98" s="7"/>
      <c r="K98" s="7"/>
      <c r="L98" s="7"/>
      <c r="M98" s="7"/>
      <c r="N98" s="7"/>
      <c r="O98" s="7"/>
      <c r="P98" s="7"/>
      <c r="Q98" s="7"/>
      <c r="R98" s="7"/>
      <c r="S98" s="7"/>
      <c r="T98" s="2"/>
      <c r="U98" s="2"/>
      <c r="V98" s="2"/>
      <c r="W98" s="2"/>
      <c r="X98" s="2"/>
      <c r="Y98" s="2"/>
    </row>
    <row r="99" spans="1:25" customFormat="1" ht="14.4">
      <c r="A99" s="6"/>
      <c r="B99" s="7"/>
      <c r="C99" s="7"/>
      <c r="D99" s="7"/>
      <c r="E99" s="5" t="s">
        <v>372</v>
      </c>
      <c r="F99" s="7"/>
      <c r="G99" s="7"/>
      <c r="H99" s="7"/>
      <c r="I99" s="7"/>
      <c r="J99" s="7"/>
      <c r="K99" s="7"/>
      <c r="L99" s="7"/>
      <c r="M99" s="7"/>
      <c r="N99" s="7"/>
      <c r="O99" s="7"/>
      <c r="P99" s="7"/>
      <c r="Q99" s="7"/>
      <c r="R99" s="7"/>
      <c r="S99" s="7"/>
      <c r="T99" s="2"/>
      <c r="U99" s="2"/>
      <c r="V99" s="2"/>
      <c r="W99" s="2"/>
      <c r="X99" s="2"/>
      <c r="Y99" s="2"/>
    </row>
    <row r="100" spans="1:25" customFormat="1" ht="14.4">
      <c r="A100" s="6"/>
      <c r="B100" s="7"/>
      <c r="C100" s="7"/>
      <c r="D100" s="7"/>
      <c r="E100" s="5"/>
      <c r="F100" s="7"/>
      <c r="G100" s="7"/>
      <c r="H100" s="7"/>
      <c r="I100" s="7"/>
      <c r="J100" s="7"/>
      <c r="K100" s="7"/>
      <c r="L100" s="7"/>
      <c r="M100" s="7"/>
      <c r="N100" s="7"/>
      <c r="O100" s="7"/>
      <c r="P100" s="7"/>
      <c r="Q100" s="7"/>
      <c r="R100" s="7"/>
      <c r="S100" s="7"/>
      <c r="T100" s="2"/>
      <c r="U100" s="2"/>
      <c r="V100" s="2"/>
      <c r="W100" s="2"/>
      <c r="X100" s="2"/>
      <c r="Y100" s="2"/>
    </row>
    <row r="101" spans="1:25" customFormat="1" ht="14.4">
      <c r="A101" s="6" t="s">
        <v>373</v>
      </c>
      <c r="B101" s="7"/>
      <c r="C101" s="7"/>
      <c r="D101" s="7"/>
      <c r="E101" s="5"/>
      <c r="F101" s="7"/>
      <c r="G101" s="7"/>
      <c r="H101" s="7"/>
      <c r="I101" s="7"/>
      <c r="J101" s="7"/>
      <c r="K101" s="7"/>
      <c r="L101" s="7"/>
      <c r="M101" s="7"/>
      <c r="N101" s="7"/>
      <c r="O101" s="7"/>
      <c r="P101" s="7"/>
      <c r="Q101" s="7"/>
      <c r="R101" s="7"/>
      <c r="S101" s="7"/>
      <c r="T101" s="2"/>
      <c r="U101" s="2"/>
      <c r="V101" s="2"/>
      <c r="W101" s="2"/>
      <c r="X101" s="2"/>
      <c r="Y101" s="2"/>
    </row>
    <row r="102" spans="1:25" customFormat="1" ht="14.4">
      <c r="A102" s="6"/>
      <c r="B102" s="7"/>
      <c r="C102" s="7"/>
      <c r="D102" s="7"/>
      <c r="E102" s="5"/>
      <c r="F102" s="7"/>
      <c r="G102" s="7"/>
      <c r="H102" s="7"/>
      <c r="I102" s="7"/>
      <c r="J102" s="7"/>
      <c r="K102" s="7"/>
      <c r="L102" s="7"/>
      <c r="M102" s="7"/>
      <c r="N102" s="7"/>
      <c r="O102" s="7"/>
      <c r="P102" s="7"/>
      <c r="Q102" s="7"/>
      <c r="R102" s="7"/>
      <c r="S102" s="7"/>
      <c r="T102" s="2"/>
      <c r="U102" s="2"/>
      <c r="V102" s="2"/>
      <c r="W102" s="2"/>
      <c r="X102" s="2"/>
      <c r="Y102" s="2"/>
    </row>
    <row r="103" spans="1:25" customFormat="1" ht="14.4">
      <c r="A103" s="6"/>
      <c r="B103" s="7"/>
      <c r="C103" s="7"/>
      <c r="D103" s="7"/>
      <c r="E103" s="9" t="s">
        <v>374</v>
      </c>
      <c r="F103" s="7"/>
      <c r="G103" s="7"/>
      <c r="H103" s="7"/>
      <c r="I103" s="7"/>
      <c r="J103" s="7"/>
      <c r="K103" s="7"/>
      <c r="L103" s="7"/>
      <c r="M103" s="7"/>
      <c r="N103" s="7"/>
      <c r="O103" s="7"/>
      <c r="P103" s="7"/>
      <c r="Q103" s="7"/>
      <c r="R103" s="7"/>
      <c r="S103" s="7"/>
      <c r="T103" s="2"/>
      <c r="U103" s="2"/>
      <c r="V103" s="2"/>
      <c r="W103" s="2"/>
      <c r="X103" s="2"/>
      <c r="Y103" s="2"/>
    </row>
    <row r="104" spans="1:25" customFormat="1" ht="14.4">
      <c r="A104" s="6"/>
      <c r="B104" s="7"/>
      <c r="C104" s="7"/>
      <c r="D104" s="7"/>
      <c r="E104" s="9"/>
      <c r="F104" s="7"/>
      <c r="G104" s="7"/>
      <c r="H104" s="7"/>
      <c r="I104" s="7"/>
      <c r="J104" s="7"/>
      <c r="K104" s="7"/>
      <c r="L104" s="7"/>
      <c r="M104" s="7"/>
      <c r="N104" s="7"/>
      <c r="O104" s="7"/>
      <c r="P104" s="7"/>
      <c r="Q104" s="7"/>
      <c r="R104" s="7"/>
      <c r="S104" s="7"/>
      <c r="T104" s="2"/>
      <c r="U104" s="2"/>
      <c r="V104" s="2"/>
      <c r="W104" s="2"/>
      <c r="X104" s="2"/>
      <c r="Y104" s="2"/>
    </row>
    <row r="105" spans="1:25" customFormat="1" ht="14.4">
      <c r="A105" s="6"/>
      <c r="B105" s="7"/>
      <c r="C105" s="7"/>
      <c r="D105" s="7"/>
      <c r="E105" s="5" t="s">
        <v>370</v>
      </c>
      <c r="F105" s="7"/>
      <c r="G105" s="7"/>
      <c r="H105" s="7"/>
      <c r="I105" s="7"/>
      <c r="J105" s="7"/>
      <c r="K105" s="7"/>
      <c r="L105" s="7"/>
      <c r="M105" s="7"/>
      <c r="N105" s="7"/>
      <c r="O105" s="7"/>
      <c r="P105" s="7"/>
      <c r="Q105" s="7"/>
      <c r="R105" s="7"/>
      <c r="S105" s="7"/>
      <c r="T105" s="2"/>
      <c r="U105" s="2"/>
      <c r="V105" s="2"/>
      <c r="W105" s="2"/>
      <c r="X105" s="2"/>
      <c r="Y105" s="2"/>
    </row>
    <row r="106" spans="1:25" customFormat="1" ht="14.4">
      <c r="A106" s="6"/>
      <c r="B106" s="7"/>
      <c r="C106" s="7"/>
      <c r="D106" s="7"/>
      <c r="E106" s="5" t="s">
        <v>371</v>
      </c>
      <c r="F106" s="7"/>
      <c r="G106" s="7"/>
      <c r="H106" s="7"/>
      <c r="I106" s="7"/>
      <c r="J106" s="7"/>
      <c r="K106" s="7"/>
      <c r="L106" s="7"/>
      <c r="M106" s="7"/>
      <c r="N106" s="7"/>
      <c r="O106" s="7"/>
      <c r="P106" s="7"/>
      <c r="Q106" s="7"/>
      <c r="R106" s="7"/>
      <c r="S106" s="7"/>
      <c r="T106" s="2"/>
      <c r="U106" s="2"/>
      <c r="V106" s="2"/>
      <c r="W106" s="2"/>
      <c r="X106" s="2"/>
      <c r="Y106" s="2"/>
    </row>
    <row r="107" spans="1:25" customFormat="1" ht="14.4">
      <c r="A107" s="6"/>
      <c r="B107" s="7"/>
      <c r="C107" s="7"/>
      <c r="D107" s="7"/>
      <c r="E107" s="5"/>
      <c r="F107" s="7"/>
      <c r="G107" s="7"/>
      <c r="H107" s="7"/>
      <c r="I107" s="7"/>
      <c r="J107" s="7"/>
      <c r="K107" s="7"/>
      <c r="L107" s="7"/>
      <c r="M107" s="7"/>
      <c r="N107" s="7"/>
      <c r="O107" s="7"/>
      <c r="P107" s="7"/>
      <c r="Q107" s="7"/>
      <c r="R107" s="7"/>
      <c r="S107" s="7"/>
      <c r="T107" s="2"/>
      <c r="U107" s="2"/>
      <c r="V107" s="2"/>
      <c r="W107" s="2"/>
      <c r="X107" s="2"/>
      <c r="Y107" s="2"/>
    </row>
    <row r="108" spans="1:25" customFormat="1" ht="14.4">
      <c r="A108" s="6"/>
      <c r="B108" s="7"/>
      <c r="C108" s="7"/>
      <c r="D108" s="7"/>
      <c r="E108" s="5" t="s">
        <v>375</v>
      </c>
      <c r="F108" s="7"/>
      <c r="G108" s="7"/>
      <c r="H108" s="7"/>
      <c r="I108" s="7"/>
      <c r="J108" s="7"/>
      <c r="K108" s="7"/>
      <c r="L108" s="7"/>
      <c r="M108" s="7"/>
      <c r="N108" s="7"/>
      <c r="O108" s="7"/>
      <c r="P108" s="7"/>
      <c r="Q108" s="7"/>
      <c r="R108" s="7"/>
      <c r="S108" s="7"/>
      <c r="T108" s="2"/>
      <c r="U108" s="2"/>
      <c r="V108" s="2"/>
      <c r="W108" s="2"/>
      <c r="X108" s="2"/>
      <c r="Y108" s="2"/>
    </row>
    <row r="109" spans="1:25" ht="14.4">
      <c r="A109" s="4"/>
      <c r="B109" s="7"/>
      <c r="C109" s="7"/>
      <c r="D109" s="7"/>
      <c r="E109" s="5"/>
      <c r="F109" s="7"/>
      <c r="G109" s="7"/>
      <c r="H109" s="7"/>
      <c r="I109" s="7"/>
      <c r="J109" s="7"/>
      <c r="K109" s="7"/>
      <c r="L109" s="7"/>
      <c r="M109" s="7"/>
      <c r="N109" s="7"/>
      <c r="O109" s="7"/>
      <c r="P109" s="7"/>
      <c r="Q109" s="7"/>
      <c r="R109" s="7"/>
      <c r="S109" s="7"/>
    </row>
    <row r="110" spans="1:25" ht="14.4">
      <c r="A110" s="6" t="s">
        <v>211</v>
      </c>
      <c r="B110" s="7"/>
      <c r="C110" s="7"/>
      <c r="D110" s="7"/>
      <c r="E110" s="5" t="s">
        <v>316</v>
      </c>
      <c r="F110" s="7"/>
      <c r="G110" s="7"/>
      <c r="H110" s="7"/>
      <c r="I110" s="7"/>
      <c r="J110" s="7"/>
      <c r="K110" s="7"/>
      <c r="L110" s="7"/>
      <c r="M110" s="7"/>
      <c r="N110" s="7"/>
      <c r="O110" s="7"/>
      <c r="P110" s="7"/>
      <c r="Q110" s="7"/>
      <c r="R110" s="7"/>
      <c r="S110" s="7"/>
    </row>
    <row r="111" spans="1:25" ht="14.4">
      <c r="A111" s="11"/>
      <c r="B111" s="7"/>
      <c r="C111" s="7"/>
      <c r="D111" s="7"/>
      <c r="E111" s="5"/>
      <c r="F111" s="7"/>
      <c r="G111" s="7"/>
      <c r="H111" s="7"/>
      <c r="I111" s="7"/>
      <c r="J111" s="7"/>
      <c r="K111" s="7"/>
      <c r="L111" s="7"/>
      <c r="M111" s="7"/>
      <c r="N111" s="7"/>
      <c r="O111" s="7"/>
      <c r="P111" s="7"/>
      <c r="Q111" s="7"/>
      <c r="R111" s="7"/>
      <c r="S111" s="7"/>
    </row>
    <row r="112" spans="1:25" ht="14.4">
      <c r="A112" s="13" t="s">
        <v>185</v>
      </c>
      <c r="B112" s="7"/>
      <c r="C112" s="7"/>
      <c r="D112" s="7"/>
      <c r="E112" s="5" t="s">
        <v>315</v>
      </c>
      <c r="F112" s="7"/>
      <c r="G112" s="7"/>
      <c r="H112" s="7"/>
      <c r="I112" s="7"/>
      <c r="J112" s="7"/>
      <c r="K112" s="7"/>
      <c r="L112" s="7"/>
      <c r="M112" s="7"/>
      <c r="N112" s="7"/>
      <c r="O112" s="7"/>
      <c r="P112" s="7"/>
      <c r="Q112" s="7"/>
      <c r="R112" s="7"/>
      <c r="S112" s="7"/>
    </row>
    <row r="113" spans="1:25" ht="14.4">
      <c r="A113" s="6"/>
      <c r="B113" s="7"/>
      <c r="C113" s="7"/>
      <c r="D113" s="7"/>
      <c r="E113" s="5"/>
      <c r="F113" s="7"/>
      <c r="G113" s="7"/>
      <c r="H113" s="7"/>
      <c r="I113" s="7"/>
      <c r="J113" s="7"/>
      <c r="K113" s="7"/>
      <c r="L113" s="7"/>
      <c r="M113" s="7"/>
      <c r="N113" s="7"/>
      <c r="O113" s="7"/>
      <c r="P113" s="7"/>
      <c r="Q113" s="7"/>
      <c r="R113" s="7"/>
      <c r="S113" s="7"/>
    </row>
    <row r="114" spans="1:25" customFormat="1" ht="14.4">
      <c r="A114" s="1" t="s">
        <v>359</v>
      </c>
      <c r="B114" s="7"/>
      <c r="C114" s="7"/>
      <c r="D114" s="7"/>
      <c r="E114" s="5" t="s">
        <v>376</v>
      </c>
      <c r="F114" s="7"/>
      <c r="G114" s="7"/>
      <c r="H114" s="7"/>
      <c r="I114" s="7"/>
      <c r="J114" s="7"/>
      <c r="K114" s="7"/>
      <c r="L114" s="7"/>
      <c r="M114" s="7"/>
      <c r="N114" s="7"/>
      <c r="O114" s="7"/>
      <c r="P114" s="7"/>
      <c r="Q114" s="7"/>
      <c r="R114" s="7"/>
      <c r="S114" s="7"/>
      <c r="T114" s="2"/>
      <c r="U114" s="2"/>
      <c r="V114" s="2"/>
      <c r="W114" s="2"/>
      <c r="X114" s="2"/>
      <c r="Y114" s="2"/>
    </row>
    <row r="115" spans="1:25" ht="14.4">
      <c r="A115" s="6"/>
      <c r="B115" s="7"/>
      <c r="C115" s="7"/>
      <c r="D115" s="7"/>
      <c r="E115" s="5"/>
      <c r="F115" s="7"/>
      <c r="G115" s="7"/>
      <c r="H115" s="7"/>
      <c r="I115" s="7"/>
      <c r="J115" s="7"/>
      <c r="K115" s="7"/>
      <c r="L115" s="7"/>
      <c r="M115" s="7"/>
      <c r="N115" s="7"/>
      <c r="O115" s="7"/>
      <c r="P115" s="7"/>
      <c r="Q115" s="7"/>
      <c r="R115" s="7"/>
      <c r="S115" s="7"/>
    </row>
    <row r="116" spans="1:25" s="5" customFormat="1" ht="14.4">
      <c r="A116" s="4" t="s">
        <v>449</v>
      </c>
    </row>
    <row r="117" spans="1:25" s="5" customFormat="1" ht="14.4">
      <c r="A117" s="11"/>
    </row>
    <row r="118" spans="1:25" s="5" customFormat="1" ht="14.4">
      <c r="A118" s="4" t="s">
        <v>451</v>
      </c>
      <c r="E118" s="5" t="s">
        <v>450</v>
      </c>
    </row>
    <row r="119" spans="1:25" s="5" customFormat="1" ht="14.4">
      <c r="A119" s="4"/>
    </row>
    <row r="120" spans="1:25" s="5" customFormat="1" ht="14.4">
      <c r="A120" s="4" t="s">
        <v>452</v>
      </c>
      <c r="E120" s="5" t="s">
        <v>453</v>
      </c>
    </row>
    <row r="121" spans="1:25" s="5" customFormat="1" ht="14.4">
      <c r="A121" s="4"/>
    </row>
    <row r="122" spans="1:25" s="5" customFormat="1" ht="14.4">
      <c r="A122" s="4" t="s">
        <v>454</v>
      </c>
      <c r="E122" s="5" t="s">
        <v>455</v>
      </c>
    </row>
    <row r="123" spans="1:25" s="5" customFormat="1" ht="14.4">
      <c r="A123" s="4"/>
    </row>
    <row r="124" spans="1:25" s="5" customFormat="1" ht="14.4">
      <c r="A124" s="4" t="s">
        <v>456</v>
      </c>
      <c r="E124" s="5" t="s">
        <v>457</v>
      </c>
    </row>
    <row r="125" spans="1:25" s="5" customFormat="1" ht="14.4">
      <c r="A125" s="4"/>
    </row>
    <row r="126" spans="1:25" s="5" customFormat="1" ht="14.4">
      <c r="A126" s="11"/>
      <c r="E126" s="5" t="s">
        <v>458</v>
      </c>
    </row>
    <row r="127" spans="1:25" ht="14.4">
      <c r="A127" s="10"/>
      <c r="B127" s="7"/>
      <c r="C127" s="7"/>
      <c r="D127" s="7"/>
      <c r="E127" s="5"/>
      <c r="F127" s="7"/>
      <c r="G127" s="7"/>
      <c r="H127" s="7"/>
      <c r="I127" s="7"/>
      <c r="J127" s="7"/>
      <c r="K127" s="7"/>
      <c r="L127" s="7"/>
      <c r="M127" s="7"/>
      <c r="N127" s="7"/>
      <c r="O127" s="7"/>
      <c r="P127" s="7"/>
      <c r="Q127" s="7"/>
      <c r="R127" s="7"/>
      <c r="S127" s="7"/>
    </row>
    <row r="128" spans="1:25" ht="14.4">
      <c r="A128" s="10" t="s">
        <v>377</v>
      </c>
      <c r="B128" s="7"/>
      <c r="C128" s="7"/>
      <c r="D128" s="7"/>
      <c r="E128" s="5"/>
      <c r="F128" s="7"/>
      <c r="G128" s="7"/>
      <c r="H128" s="7"/>
      <c r="I128" s="7"/>
      <c r="J128" s="7"/>
      <c r="K128" s="7"/>
      <c r="L128" s="7"/>
      <c r="M128" s="7"/>
      <c r="N128" s="7"/>
      <c r="O128" s="7"/>
      <c r="P128" s="7"/>
      <c r="Q128" s="7"/>
      <c r="R128" s="7"/>
      <c r="S128" s="7"/>
    </row>
    <row r="130" spans="1:19" ht="18" hidden="1">
      <c r="A130" s="14" t="s">
        <v>346</v>
      </c>
      <c r="B130" s="7"/>
      <c r="C130" s="7"/>
      <c r="D130" s="7"/>
      <c r="E130" s="7"/>
      <c r="F130" s="7"/>
      <c r="G130" s="7"/>
      <c r="H130" s="7"/>
      <c r="I130" s="7"/>
      <c r="J130" s="7"/>
      <c r="K130" s="7"/>
      <c r="L130" s="7"/>
      <c r="M130" s="7"/>
      <c r="N130" s="7"/>
      <c r="O130" s="7"/>
      <c r="P130" s="7"/>
      <c r="Q130" s="7"/>
      <c r="R130" s="7"/>
      <c r="S130" s="7"/>
    </row>
    <row r="131" spans="1:19" ht="14.4" hidden="1">
      <c r="A131" s="6"/>
      <c r="B131" s="7"/>
      <c r="C131" s="7"/>
      <c r="D131" s="7"/>
      <c r="E131" s="5"/>
      <c r="F131" s="7"/>
      <c r="G131" s="7"/>
      <c r="H131" s="7"/>
      <c r="I131" s="7"/>
      <c r="J131" s="7"/>
      <c r="K131" s="7"/>
      <c r="L131" s="7"/>
      <c r="M131" s="7"/>
      <c r="N131" s="7"/>
      <c r="O131" s="7"/>
      <c r="P131" s="7"/>
      <c r="Q131" s="7"/>
      <c r="R131" s="7"/>
      <c r="S131" s="7"/>
    </row>
    <row r="132" spans="1:19" ht="14.4" hidden="1">
      <c r="A132" s="10" t="s">
        <v>345</v>
      </c>
      <c r="B132" s="7"/>
      <c r="C132" s="7"/>
      <c r="D132" s="7"/>
      <c r="E132" s="5"/>
      <c r="F132" s="7"/>
      <c r="G132" s="7"/>
      <c r="H132" s="7"/>
      <c r="I132" s="7"/>
      <c r="J132" s="7"/>
      <c r="K132" s="7"/>
      <c r="L132" s="7"/>
      <c r="M132" s="7"/>
      <c r="N132" s="7"/>
      <c r="O132" s="7"/>
      <c r="P132" s="7"/>
      <c r="Q132" s="7"/>
      <c r="R132" s="7"/>
      <c r="S132" s="7"/>
    </row>
    <row r="133" spans="1:19" ht="14.4" hidden="1">
      <c r="A133" s="6"/>
      <c r="B133" s="7"/>
      <c r="C133" s="7"/>
      <c r="D133" s="7"/>
      <c r="E133" s="5"/>
      <c r="F133" s="7"/>
      <c r="G133" s="7"/>
      <c r="H133" s="7"/>
      <c r="I133" s="7"/>
      <c r="J133" s="7"/>
      <c r="K133" s="7"/>
      <c r="L133" s="7"/>
      <c r="M133" s="7"/>
      <c r="N133" s="7"/>
      <c r="O133" s="7"/>
      <c r="P133" s="7"/>
      <c r="Q133" s="7"/>
      <c r="R133" s="7"/>
      <c r="S133" s="7"/>
    </row>
    <row r="134" spans="1:19" ht="14.4" hidden="1">
      <c r="A134" s="6" t="s">
        <v>317</v>
      </c>
      <c r="B134" s="7"/>
      <c r="C134" s="7"/>
      <c r="D134" s="7"/>
      <c r="E134" s="5"/>
      <c r="F134" s="7"/>
      <c r="G134" s="7"/>
      <c r="H134" s="7"/>
      <c r="I134" s="7"/>
      <c r="J134" s="7"/>
      <c r="K134" s="7"/>
      <c r="L134" s="7"/>
      <c r="M134" s="7"/>
      <c r="N134" s="7"/>
      <c r="O134" s="7"/>
      <c r="P134" s="7"/>
      <c r="Q134" s="7"/>
      <c r="R134" s="7"/>
      <c r="S134" s="7"/>
    </row>
    <row r="135" spans="1:19" ht="14.4" hidden="1">
      <c r="A135" s="6" t="s">
        <v>318</v>
      </c>
      <c r="B135" s="7"/>
      <c r="C135" s="7"/>
      <c r="D135" s="7"/>
      <c r="E135" s="5" t="s">
        <v>319</v>
      </c>
      <c r="F135" s="7"/>
      <c r="G135" s="7"/>
      <c r="H135" s="7"/>
      <c r="I135" s="7"/>
      <c r="J135" s="7"/>
      <c r="K135" s="7"/>
      <c r="L135" s="7"/>
      <c r="M135" s="7"/>
      <c r="N135" s="7"/>
      <c r="O135" s="7"/>
      <c r="P135" s="7"/>
      <c r="Q135" s="7"/>
      <c r="R135" s="7"/>
      <c r="S135" s="7"/>
    </row>
    <row r="136" spans="1:19" ht="14.4" hidden="1">
      <c r="B136" s="7"/>
      <c r="C136" s="7"/>
      <c r="D136" s="7"/>
      <c r="E136" s="5"/>
      <c r="F136" s="7"/>
      <c r="G136" s="7"/>
      <c r="H136" s="7"/>
      <c r="I136" s="7"/>
      <c r="J136" s="7"/>
      <c r="K136" s="7"/>
      <c r="L136" s="7"/>
      <c r="M136" s="7"/>
      <c r="N136" s="7"/>
      <c r="O136" s="7"/>
      <c r="P136" s="7"/>
      <c r="Q136" s="7"/>
      <c r="R136" s="7"/>
      <c r="S136" s="7"/>
    </row>
    <row r="137" spans="1:19" ht="14.4" hidden="1">
      <c r="A137" s="6" t="s">
        <v>213</v>
      </c>
      <c r="B137" s="7"/>
      <c r="C137" s="7"/>
      <c r="D137" s="7"/>
      <c r="E137" s="5" t="s">
        <v>320</v>
      </c>
      <c r="F137" s="7"/>
      <c r="G137" s="7"/>
      <c r="H137" s="7"/>
      <c r="I137" s="7"/>
      <c r="J137" s="7"/>
      <c r="K137" s="7"/>
      <c r="L137" s="7"/>
      <c r="M137" s="7"/>
      <c r="N137" s="7"/>
      <c r="O137" s="7"/>
      <c r="P137" s="7"/>
      <c r="Q137" s="7"/>
      <c r="R137" s="7"/>
      <c r="S137" s="7"/>
    </row>
    <row r="138" spans="1:19" ht="14.4" hidden="1">
      <c r="A138" s="6"/>
      <c r="B138" s="7"/>
      <c r="C138" s="7"/>
      <c r="D138" s="7"/>
      <c r="E138" s="5"/>
      <c r="F138" s="7"/>
      <c r="G138" s="7"/>
      <c r="H138" s="7"/>
      <c r="I138" s="7"/>
      <c r="J138" s="7"/>
      <c r="K138" s="7"/>
      <c r="L138" s="7"/>
      <c r="M138" s="7"/>
      <c r="N138" s="7"/>
      <c r="O138" s="7"/>
      <c r="P138" s="7"/>
      <c r="Q138" s="7"/>
      <c r="R138" s="7"/>
      <c r="S138" s="7"/>
    </row>
    <row r="139" spans="1:19" ht="14.4" hidden="1">
      <c r="A139" s="6" t="s">
        <v>212</v>
      </c>
      <c r="B139" s="7"/>
      <c r="C139" s="7"/>
      <c r="D139" s="7"/>
      <c r="E139" s="5" t="s">
        <v>321</v>
      </c>
      <c r="F139" s="7"/>
      <c r="G139" s="7"/>
      <c r="H139" s="7"/>
      <c r="I139" s="7"/>
      <c r="J139" s="7"/>
      <c r="K139" s="7"/>
      <c r="L139" s="7"/>
      <c r="M139" s="7"/>
      <c r="N139" s="7"/>
      <c r="O139" s="7"/>
      <c r="P139" s="7"/>
      <c r="Q139" s="7"/>
      <c r="R139" s="7"/>
      <c r="S139" s="7"/>
    </row>
    <row r="140" spans="1:19" ht="14.4" hidden="1">
      <c r="A140" s="6"/>
      <c r="B140" s="7"/>
      <c r="C140" s="7"/>
      <c r="D140" s="7"/>
      <c r="E140" s="5"/>
      <c r="F140" s="7"/>
      <c r="G140" s="7"/>
      <c r="H140" s="7"/>
      <c r="I140" s="7"/>
      <c r="J140" s="7"/>
      <c r="K140" s="7"/>
      <c r="L140" s="7"/>
      <c r="M140" s="7"/>
      <c r="N140" s="7"/>
      <c r="O140" s="7"/>
      <c r="P140" s="7"/>
      <c r="Q140" s="7"/>
      <c r="R140" s="7"/>
      <c r="S140" s="7"/>
    </row>
    <row r="141" spans="1:19" ht="14.4" hidden="1">
      <c r="A141" s="6" t="s">
        <v>322</v>
      </c>
      <c r="B141" s="7"/>
      <c r="C141" s="7"/>
      <c r="D141" s="7"/>
      <c r="E141" s="5"/>
      <c r="F141" s="7"/>
      <c r="G141" s="7"/>
      <c r="H141" s="7"/>
      <c r="I141" s="7"/>
      <c r="J141" s="7"/>
      <c r="K141" s="7"/>
      <c r="L141" s="7"/>
      <c r="M141" s="7"/>
      <c r="N141" s="7"/>
      <c r="O141" s="7"/>
      <c r="P141" s="7"/>
      <c r="Q141" s="7"/>
      <c r="R141" s="7"/>
      <c r="S141" s="7"/>
    </row>
    <row r="142" spans="1:19" ht="14.4" hidden="1">
      <c r="A142" s="6" t="s">
        <v>323</v>
      </c>
      <c r="B142" s="7"/>
      <c r="C142" s="7"/>
      <c r="D142" s="7"/>
      <c r="E142" s="5" t="s">
        <v>324</v>
      </c>
      <c r="F142" s="7"/>
      <c r="G142" s="7"/>
      <c r="H142" s="7"/>
      <c r="I142" s="7"/>
      <c r="J142" s="7"/>
      <c r="K142" s="7"/>
      <c r="L142" s="7"/>
      <c r="M142" s="7"/>
      <c r="N142" s="7"/>
      <c r="O142" s="7"/>
      <c r="P142" s="7"/>
      <c r="Q142" s="7"/>
      <c r="R142" s="7"/>
      <c r="S142" s="7"/>
    </row>
    <row r="143" spans="1:19" ht="14.4" hidden="1">
      <c r="A143" s="6"/>
      <c r="B143" s="7"/>
      <c r="C143" s="7"/>
      <c r="D143" s="7"/>
      <c r="E143" s="5"/>
      <c r="F143" s="7"/>
      <c r="G143" s="7"/>
      <c r="H143" s="7"/>
      <c r="I143" s="7"/>
      <c r="J143" s="7"/>
      <c r="K143" s="7"/>
      <c r="L143" s="7"/>
      <c r="M143" s="7"/>
      <c r="N143" s="7"/>
      <c r="O143" s="7"/>
      <c r="P143" s="7"/>
      <c r="Q143" s="7"/>
      <c r="R143" s="7"/>
      <c r="S143" s="7"/>
    </row>
    <row r="144" spans="1:19" ht="14.4" hidden="1">
      <c r="A144" s="6" t="s">
        <v>325</v>
      </c>
      <c r="B144" s="7"/>
      <c r="C144" s="7"/>
      <c r="D144" s="7"/>
      <c r="E144" s="5"/>
      <c r="F144" s="7"/>
      <c r="G144" s="7"/>
      <c r="H144" s="7"/>
      <c r="I144" s="7"/>
      <c r="J144" s="7"/>
      <c r="K144" s="7"/>
      <c r="L144" s="7"/>
      <c r="M144" s="7"/>
      <c r="N144" s="7"/>
      <c r="O144" s="7"/>
      <c r="P144" s="7"/>
      <c r="Q144" s="7"/>
      <c r="R144" s="7"/>
      <c r="S144" s="7"/>
    </row>
    <row r="145" spans="1:19" ht="14.4" hidden="1">
      <c r="A145" s="6" t="s">
        <v>326</v>
      </c>
      <c r="B145" s="7"/>
      <c r="C145" s="7"/>
      <c r="D145" s="7"/>
      <c r="E145" s="5" t="s">
        <v>327</v>
      </c>
      <c r="F145" s="7"/>
      <c r="G145" s="7"/>
      <c r="H145" s="7"/>
      <c r="I145" s="7"/>
      <c r="J145" s="7"/>
      <c r="K145" s="7"/>
      <c r="L145" s="7"/>
      <c r="M145" s="7"/>
      <c r="N145" s="7"/>
      <c r="O145" s="7"/>
      <c r="P145" s="7"/>
      <c r="Q145" s="7"/>
      <c r="R145" s="7"/>
      <c r="S145" s="7"/>
    </row>
    <row r="146" spans="1:19" ht="14.4" hidden="1">
      <c r="A146" s="6"/>
      <c r="B146" s="7"/>
      <c r="C146" s="7"/>
      <c r="D146" s="7"/>
      <c r="E146" s="5"/>
      <c r="F146" s="7"/>
      <c r="G146" s="7"/>
      <c r="H146" s="7"/>
      <c r="I146" s="7"/>
      <c r="J146" s="7"/>
      <c r="K146" s="7"/>
      <c r="L146" s="7"/>
      <c r="M146" s="7"/>
      <c r="N146" s="7"/>
      <c r="O146" s="7"/>
      <c r="P146" s="7"/>
      <c r="Q146" s="7"/>
      <c r="R146" s="7"/>
      <c r="S146" s="7"/>
    </row>
    <row r="147" spans="1:19" ht="14.4" hidden="1">
      <c r="A147" s="6" t="s">
        <v>209</v>
      </c>
      <c r="B147" s="7"/>
      <c r="C147" s="7"/>
      <c r="D147" s="7"/>
      <c r="E147" s="5" t="s">
        <v>328</v>
      </c>
      <c r="F147" s="7"/>
      <c r="G147" s="7"/>
      <c r="H147" s="7"/>
      <c r="I147" s="7"/>
      <c r="J147" s="7"/>
      <c r="K147" s="7"/>
      <c r="L147" s="7"/>
      <c r="M147" s="7"/>
      <c r="N147" s="7"/>
      <c r="O147" s="7"/>
      <c r="P147" s="7"/>
      <c r="Q147" s="7"/>
      <c r="R147" s="7"/>
      <c r="S147" s="7"/>
    </row>
    <row r="148" spans="1:19" ht="14.4" hidden="1">
      <c r="A148" s="6"/>
      <c r="B148" s="7"/>
      <c r="C148" s="7"/>
      <c r="D148" s="7"/>
      <c r="E148" s="5"/>
      <c r="F148" s="7"/>
      <c r="G148" s="7"/>
      <c r="H148" s="7"/>
      <c r="I148" s="7"/>
      <c r="J148" s="7"/>
      <c r="K148" s="7"/>
      <c r="L148" s="7"/>
      <c r="M148" s="7"/>
      <c r="N148" s="7"/>
      <c r="O148" s="7"/>
      <c r="P148" s="7"/>
      <c r="Q148" s="7"/>
      <c r="R148" s="7"/>
      <c r="S148" s="7"/>
    </row>
    <row r="149" spans="1:19" ht="14.4" hidden="1">
      <c r="A149" s="6" t="s">
        <v>329</v>
      </c>
      <c r="B149" s="7"/>
      <c r="C149" s="7"/>
      <c r="D149" s="7"/>
      <c r="E149" s="5" t="s">
        <v>330</v>
      </c>
      <c r="F149" s="7"/>
      <c r="G149" s="7"/>
      <c r="H149" s="7"/>
      <c r="I149" s="7"/>
      <c r="J149" s="7"/>
      <c r="K149" s="7"/>
      <c r="L149" s="7"/>
      <c r="M149" s="7"/>
      <c r="N149" s="7"/>
      <c r="O149" s="7"/>
      <c r="P149" s="7"/>
      <c r="Q149" s="7"/>
      <c r="R149" s="7"/>
      <c r="S149" s="7"/>
    </row>
    <row r="150" spans="1:19" ht="14.4" hidden="1">
      <c r="A150" s="6"/>
      <c r="B150" s="7"/>
      <c r="C150" s="7"/>
      <c r="D150" s="7"/>
      <c r="E150" s="5"/>
      <c r="F150" s="7"/>
      <c r="G150" s="7"/>
      <c r="H150" s="7"/>
      <c r="I150" s="7"/>
      <c r="J150" s="7"/>
      <c r="K150" s="7"/>
      <c r="L150" s="7"/>
      <c r="M150" s="7"/>
      <c r="N150" s="7"/>
      <c r="O150" s="7"/>
      <c r="P150" s="7"/>
      <c r="Q150" s="7"/>
      <c r="R150" s="7"/>
      <c r="S150" s="7"/>
    </row>
    <row r="151" spans="1:19" ht="14.4" hidden="1">
      <c r="A151" s="6" t="s">
        <v>200</v>
      </c>
      <c r="B151" s="7"/>
      <c r="C151" s="7"/>
      <c r="D151" s="7"/>
      <c r="E151" s="5" t="s">
        <v>331</v>
      </c>
      <c r="F151" s="7"/>
      <c r="G151" s="7"/>
      <c r="H151" s="7"/>
      <c r="I151" s="7"/>
      <c r="J151" s="7"/>
      <c r="K151" s="7"/>
      <c r="L151" s="7"/>
      <c r="M151" s="7"/>
      <c r="N151" s="7"/>
      <c r="O151" s="7"/>
      <c r="P151" s="7"/>
      <c r="Q151" s="7"/>
      <c r="R151" s="7"/>
      <c r="S151" s="7"/>
    </row>
    <row r="152" spans="1:19" ht="14.4" hidden="1">
      <c r="A152" s="6"/>
      <c r="B152" s="7"/>
      <c r="C152" s="7"/>
      <c r="D152" s="7"/>
      <c r="E152" s="5" t="s">
        <v>332</v>
      </c>
      <c r="F152" s="7"/>
      <c r="G152" s="7"/>
      <c r="H152" s="7"/>
      <c r="I152" s="7"/>
      <c r="J152" s="7"/>
      <c r="K152" s="7"/>
      <c r="L152" s="7"/>
      <c r="M152" s="7"/>
      <c r="N152" s="7"/>
      <c r="O152" s="7"/>
      <c r="P152" s="7"/>
      <c r="Q152" s="7"/>
      <c r="R152" s="7"/>
      <c r="S152" s="7"/>
    </row>
    <row r="153" spans="1:19" ht="14.4" hidden="1">
      <c r="A153" s="10" t="s">
        <v>215</v>
      </c>
      <c r="B153" s="7"/>
      <c r="C153" s="7"/>
      <c r="D153" s="7"/>
      <c r="E153" s="5"/>
      <c r="F153" s="7"/>
      <c r="G153" s="7"/>
      <c r="H153" s="7"/>
      <c r="I153" s="7"/>
      <c r="J153" s="7"/>
      <c r="K153" s="7"/>
      <c r="L153" s="7"/>
      <c r="M153" s="7"/>
      <c r="N153" s="7"/>
      <c r="O153" s="7"/>
      <c r="P153" s="7"/>
      <c r="Q153" s="7"/>
      <c r="R153" s="7"/>
      <c r="S153" s="7"/>
    </row>
    <row r="154" spans="1:19" ht="14.4" hidden="1">
      <c r="A154" s="6"/>
      <c r="B154" s="7"/>
      <c r="C154" s="7"/>
      <c r="D154" s="7"/>
      <c r="E154" s="5"/>
      <c r="F154" s="7"/>
      <c r="G154" s="7"/>
      <c r="H154" s="7"/>
      <c r="I154" s="7"/>
      <c r="J154" s="7"/>
      <c r="K154" s="7"/>
      <c r="L154" s="7"/>
      <c r="M154" s="7"/>
      <c r="N154" s="7"/>
      <c r="O154" s="7"/>
      <c r="P154" s="7"/>
      <c r="Q154" s="7"/>
      <c r="R154" s="7"/>
      <c r="S154" s="7"/>
    </row>
    <row r="155" spans="1:19" ht="14.4" hidden="1">
      <c r="A155" s="10" t="s">
        <v>210</v>
      </c>
      <c r="B155" s="7"/>
      <c r="C155" s="7"/>
      <c r="D155" s="7"/>
      <c r="E155" s="5"/>
      <c r="F155" s="7"/>
      <c r="G155" s="7"/>
      <c r="H155" s="7"/>
      <c r="I155" s="7"/>
      <c r="J155" s="7"/>
      <c r="K155" s="7"/>
      <c r="L155" s="7"/>
      <c r="M155" s="7"/>
      <c r="N155" s="7"/>
      <c r="O155" s="7"/>
      <c r="P155" s="7"/>
      <c r="Q155" s="7"/>
      <c r="R155" s="7"/>
      <c r="S155" s="7"/>
    </row>
    <row r="156" spans="1:19" ht="14.4" hidden="1">
      <c r="A156" s="6" t="s">
        <v>333</v>
      </c>
      <c r="B156" s="7"/>
      <c r="C156" s="7"/>
      <c r="D156" s="7"/>
      <c r="E156" s="5"/>
      <c r="F156" s="7"/>
      <c r="G156" s="7"/>
      <c r="H156" s="7"/>
      <c r="I156" s="7"/>
      <c r="J156" s="7"/>
      <c r="K156" s="7"/>
      <c r="L156" s="7"/>
      <c r="M156" s="7"/>
      <c r="N156" s="7"/>
      <c r="O156" s="7"/>
      <c r="P156" s="7"/>
      <c r="Q156" s="7"/>
      <c r="R156" s="7"/>
      <c r="S156" s="7"/>
    </row>
    <row r="157" spans="1:19" ht="14.4" hidden="1">
      <c r="A157" s="6" t="s">
        <v>323</v>
      </c>
      <c r="B157" s="7"/>
      <c r="C157" s="7"/>
      <c r="D157" s="7"/>
      <c r="E157" s="5" t="s">
        <v>334</v>
      </c>
      <c r="F157" s="7"/>
      <c r="G157" s="7"/>
      <c r="H157" s="7"/>
      <c r="I157" s="7"/>
      <c r="J157" s="7"/>
      <c r="K157" s="7"/>
      <c r="L157" s="7"/>
      <c r="M157" s="7"/>
      <c r="N157" s="7"/>
      <c r="O157" s="7"/>
      <c r="P157" s="7"/>
      <c r="Q157" s="7"/>
      <c r="R157" s="7"/>
      <c r="S157" s="7"/>
    </row>
    <row r="158" spans="1:19" ht="14.4" hidden="1">
      <c r="A158" s="6"/>
      <c r="B158" s="7"/>
      <c r="C158" s="7"/>
      <c r="D158" s="7"/>
      <c r="E158" s="5"/>
      <c r="F158" s="7"/>
      <c r="G158" s="7"/>
      <c r="H158" s="7"/>
      <c r="I158" s="7"/>
      <c r="J158" s="7"/>
      <c r="K158" s="7"/>
      <c r="L158" s="7"/>
      <c r="M158" s="7"/>
      <c r="N158" s="7"/>
      <c r="O158" s="7"/>
      <c r="P158" s="7"/>
      <c r="Q158" s="7"/>
      <c r="R158" s="7"/>
      <c r="S158" s="7"/>
    </row>
    <row r="159" spans="1:19" ht="14.4" hidden="1">
      <c r="A159" s="6" t="s">
        <v>214</v>
      </c>
      <c r="B159" s="7"/>
      <c r="C159" s="7"/>
      <c r="D159" s="7"/>
      <c r="E159" s="5" t="s">
        <v>335</v>
      </c>
      <c r="F159" s="7"/>
      <c r="G159" s="7"/>
      <c r="H159" s="7"/>
      <c r="I159" s="7"/>
      <c r="J159" s="7"/>
      <c r="K159" s="7"/>
      <c r="L159" s="7"/>
      <c r="M159" s="7"/>
      <c r="N159" s="7"/>
      <c r="O159" s="7"/>
      <c r="P159" s="7"/>
      <c r="Q159" s="7"/>
      <c r="R159" s="7"/>
      <c r="S159" s="7"/>
    </row>
    <row r="160" spans="1:19" ht="14.4" hidden="1">
      <c r="A160" s="6"/>
      <c r="B160" s="7"/>
      <c r="C160" s="7"/>
      <c r="D160" s="7"/>
      <c r="E160" s="5"/>
      <c r="F160" s="7"/>
      <c r="G160" s="7"/>
      <c r="H160" s="7"/>
      <c r="I160" s="7"/>
      <c r="J160" s="7"/>
      <c r="K160" s="7"/>
      <c r="L160" s="7"/>
      <c r="M160" s="7"/>
      <c r="N160" s="7"/>
      <c r="O160" s="7"/>
      <c r="P160" s="7"/>
      <c r="Q160" s="7"/>
      <c r="R160" s="7"/>
      <c r="S160" s="7"/>
    </row>
    <row r="161" spans="1:19" ht="14.4" hidden="1">
      <c r="A161" s="6" t="s">
        <v>205</v>
      </c>
      <c r="B161" s="7"/>
      <c r="C161" s="7"/>
      <c r="D161" s="7"/>
      <c r="E161" s="5" t="s">
        <v>336</v>
      </c>
      <c r="F161" s="7"/>
      <c r="G161" s="7"/>
      <c r="H161" s="7"/>
      <c r="I161" s="7"/>
      <c r="J161" s="7"/>
      <c r="K161" s="7"/>
      <c r="L161" s="7"/>
      <c r="M161" s="7"/>
      <c r="N161" s="7"/>
      <c r="O161" s="7"/>
      <c r="P161" s="7"/>
      <c r="Q161" s="7"/>
      <c r="R161" s="7"/>
      <c r="S161" s="7"/>
    </row>
    <row r="162" spans="1:19" ht="14.4" hidden="1">
      <c r="A162" s="6"/>
      <c r="B162" s="7"/>
      <c r="C162" s="7"/>
      <c r="D162" s="7"/>
      <c r="E162" s="4" t="s">
        <v>337</v>
      </c>
      <c r="F162" s="7"/>
      <c r="G162" s="7"/>
      <c r="H162" s="7"/>
      <c r="I162" s="7"/>
      <c r="J162" s="7"/>
      <c r="K162" s="7"/>
      <c r="L162" s="7"/>
      <c r="M162" s="7"/>
      <c r="N162" s="7"/>
      <c r="O162" s="7"/>
      <c r="P162" s="7"/>
      <c r="Q162" s="7"/>
      <c r="R162" s="7"/>
      <c r="S162" s="7"/>
    </row>
    <row r="163" spans="1:19" ht="14.4" hidden="1">
      <c r="A163" s="6"/>
      <c r="B163" s="7"/>
      <c r="C163" s="7"/>
      <c r="D163" s="7"/>
      <c r="E163" s="5"/>
      <c r="F163" s="7"/>
      <c r="G163" s="7"/>
      <c r="H163" s="7"/>
      <c r="I163" s="7"/>
      <c r="J163" s="7"/>
      <c r="K163" s="7"/>
      <c r="L163" s="7"/>
      <c r="M163" s="7"/>
      <c r="N163" s="7"/>
      <c r="O163" s="7"/>
      <c r="P163" s="7"/>
      <c r="Q163" s="7"/>
      <c r="R163" s="7"/>
      <c r="S163" s="7"/>
    </row>
    <row r="164" spans="1:19" ht="14.4" hidden="1">
      <c r="A164" s="10" t="s">
        <v>202</v>
      </c>
      <c r="B164" s="7"/>
      <c r="C164" s="7"/>
      <c r="D164" s="7"/>
      <c r="E164" s="5" t="s">
        <v>338</v>
      </c>
      <c r="F164" s="7"/>
      <c r="G164" s="7"/>
      <c r="H164" s="7"/>
      <c r="I164" s="7"/>
      <c r="J164" s="7"/>
      <c r="K164" s="7"/>
      <c r="L164" s="7"/>
      <c r="M164" s="7"/>
      <c r="N164" s="7"/>
      <c r="O164" s="7"/>
      <c r="P164" s="7"/>
      <c r="Q164" s="7"/>
      <c r="R164" s="7"/>
      <c r="S164" s="7"/>
    </row>
    <row r="165" spans="1:19" ht="14.4" hidden="1">
      <c r="A165" s="6"/>
      <c r="B165" s="7"/>
      <c r="C165" s="7"/>
      <c r="D165" s="7"/>
      <c r="E165" s="5"/>
      <c r="F165" s="7"/>
      <c r="G165" s="7"/>
      <c r="H165" s="7"/>
      <c r="I165" s="7"/>
      <c r="J165" s="7"/>
      <c r="K165" s="7"/>
      <c r="L165" s="7"/>
      <c r="M165" s="7"/>
      <c r="N165" s="7"/>
      <c r="O165" s="7"/>
      <c r="P165" s="7"/>
      <c r="Q165" s="7"/>
      <c r="R165" s="7"/>
      <c r="S165" s="7"/>
    </row>
    <row r="166" spans="1:19" ht="14.4" hidden="1">
      <c r="A166" s="6" t="s">
        <v>203</v>
      </c>
      <c r="B166" s="7"/>
      <c r="C166" s="7"/>
      <c r="D166" s="7"/>
      <c r="E166" s="5" t="s">
        <v>339</v>
      </c>
      <c r="F166" s="7"/>
      <c r="G166" s="7"/>
      <c r="H166" s="7"/>
      <c r="I166" s="7"/>
      <c r="J166" s="7"/>
      <c r="K166" s="7"/>
      <c r="L166" s="7"/>
      <c r="M166" s="7"/>
      <c r="N166" s="7"/>
      <c r="O166" s="7"/>
      <c r="P166" s="7"/>
      <c r="Q166" s="7"/>
      <c r="R166" s="7"/>
      <c r="S166" s="7"/>
    </row>
    <row r="167" spans="1:19" ht="14.4" hidden="1">
      <c r="A167" s="6"/>
      <c r="B167" s="7"/>
      <c r="C167" s="7"/>
      <c r="D167" s="7"/>
      <c r="E167" s="5"/>
      <c r="F167" s="7"/>
      <c r="G167" s="7"/>
      <c r="H167" s="7"/>
      <c r="I167" s="7"/>
      <c r="J167" s="7"/>
      <c r="K167" s="7"/>
      <c r="L167" s="7"/>
      <c r="M167" s="7"/>
      <c r="N167" s="7"/>
      <c r="O167" s="7"/>
      <c r="P167" s="7"/>
      <c r="Q167" s="7"/>
      <c r="R167" s="7"/>
      <c r="S167" s="7"/>
    </row>
    <row r="168" spans="1:19" ht="14.4" hidden="1">
      <c r="A168" s="6" t="s">
        <v>214</v>
      </c>
      <c r="B168" s="7"/>
      <c r="C168" s="7"/>
      <c r="D168" s="7"/>
      <c r="E168" s="5" t="s">
        <v>335</v>
      </c>
      <c r="F168" s="7"/>
      <c r="G168" s="7"/>
      <c r="H168" s="7"/>
      <c r="I168" s="7"/>
      <c r="J168" s="7"/>
      <c r="K168" s="7"/>
      <c r="L168" s="7"/>
      <c r="M168" s="7"/>
      <c r="N168" s="7"/>
      <c r="O168" s="7"/>
      <c r="P168" s="7"/>
      <c r="Q168" s="7"/>
      <c r="R168" s="7"/>
      <c r="S168" s="7"/>
    </row>
    <row r="169" spans="1:19" ht="14.4" hidden="1">
      <c r="A169" s="6"/>
      <c r="B169" s="7"/>
      <c r="C169" s="7"/>
      <c r="D169" s="7"/>
      <c r="E169" s="5"/>
      <c r="F169" s="7"/>
      <c r="G169" s="7"/>
      <c r="H169" s="7"/>
      <c r="I169" s="7"/>
      <c r="J169" s="7"/>
      <c r="K169" s="7"/>
      <c r="L169" s="7"/>
      <c r="M169" s="7"/>
      <c r="N169" s="7"/>
      <c r="O169" s="7"/>
      <c r="P169" s="7"/>
      <c r="Q169" s="7"/>
      <c r="R169" s="7"/>
      <c r="S169" s="7"/>
    </row>
    <row r="170" spans="1:19" ht="14.4" hidden="1">
      <c r="A170" s="6" t="s">
        <v>204</v>
      </c>
      <c r="B170" s="7"/>
      <c r="C170" s="7"/>
      <c r="D170" s="7"/>
      <c r="E170" s="5" t="s">
        <v>340</v>
      </c>
      <c r="F170" s="7"/>
      <c r="G170" s="7"/>
      <c r="H170" s="7"/>
      <c r="I170" s="7"/>
      <c r="J170" s="7"/>
      <c r="K170" s="7"/>
      <c r="L170" s="7"/>
      <c r="M170" s="7"/>
      <c r="N170" s="7"/>
      <c r="O170" s="7"/>
      <c r="P170" s="7"/>
      <c r="Q170" s="7"/>
      <c r="R170" s="7"/>
      <c r="S170" s="7"/>
    </row>
    <row r="171" spans="1:19" ht="14.4" hidden="1">
      <c r="A171" s="6"/>
      <c r="B171" s="7"/>
      <c r="C171" s="7"/>
      <c r="D171" s="7"/>
      <c r="E171" s="4" t="s">
        <v>341</v>
      </c>
      <c r="F171" s="7"/>
      <c r="G171" s="7"/>
      <c r="H171" s="7"/>
      <c r="I171" s="7"/>
      <c r="J171" s="7"/>
      <c r="K171" s="7"/>
      <c r="L171" s="7"/>
      <c r="M171" s="7"/>
      <c r="N171" s="7"/>
      <c r="O171" s="7"/>
      <c r="P171" s="7"/>
      <c r="Q171" s="7"/>
      <c r="R171" s="7"/>
      <c r="S171" s="7"/>
    </row>
    <row r="172" spans="1:19" ht="14.4" hidden="1">
      <c r="A172" s="6"/>
      <c r="B172" s="7"/>
      <c r="C172" s="7"/>
      <c r="D172" s="7"/>
      <c r="E172" s="5"/>
      <c r="F172" s="7"/>
      <c r="G172" s="7"/>
      <c r="H172" s="7"/>
      <c r="I172" s="7"/>
      <c r="J172" s="7"/>
      <c r="K172" s="7"/>
      <c r="L172" s="7"/>
      <c r="M172" s="7"/>
      <c r="N172" s="7"/>
      <c r="O172" s="7"/>
      <c r="P172" s="7"/>
      <c r="Q172" s="7"/>
      <c r="R172" s="7"/>
      <c r="S172" s="7"/>
    </row>
    <row r="173" spans="1:19" ht="14.4">
      <c r="A173" s="6"/>
      <c r="B173" s="7"/>
      <c r="C173" s="7"/>
      <c r="D173" s="7"/>
      <c r="E173" s="5"/>
      <c r="F173" s="7"/>
      <c r="G173" s="7"/>
      <c r="H173" s="7"/>
      <c r="I173" s="7"/>
      <c r="J173" s="7"/>
      <c r="K173" s="7"/>
      <c r="L173" s="7"/>
      <c r="M173" s="7"/>
      <c r="N173" s="7"/>
      <c r="O173" s="7"/>
      <c r="P173" s="7"/>
      <c r="Q173" s="7"/>
      <c r="R173" s="7"/>
      <c r="S173" s="7"/>
    </row>
    <row r="174" spans="1:19" ht="14.4">
      <c r="A174" s="4"/>
      <c r="B174" s="7"/>
      <c r="C174" s="7"/>
      <c r="D174" s="7"/>
      <c r="E174" s="4"/>
      <c r="F174" s="7"/>
      <c r="G174" s="7"/>
      <c r="H174" s="7"/>
      <c r="I174" s="7"/>
      <c r="J174" s="7"/>
      <c r="K174" s="7"/>
      <c r="L174" s="7"/>
      <c r="M174" s="7"/>
      <c r="N174" s="7"/>
      <c r="O174" s="7"/>
      <c r="P174" s="7"/>
      <c r="Q174" s="7"/>
      <c r="R174" s="7"/>
      <c r="S174" s="7"/>
    </row>
    <row r="175" spans="1:19" ht="14.4">
      <c r="A175" s="4"/>
      <c r="B175" s="7"/>
      <c r="C175" s="7"/>
      <c r="D175" s="7"/>
      <c r="I175" s="7"/>
      <c r="J175" s="7"/>
      <c r="K175" s="7"/>
      <c r="L175" s="7"/>
      <c r="M175" s="7"/>
      <c r="N175" s="7"/>
      <c r="O175" s="7"/>
      <c r="P175" s="7"/>
      <c r="Q175" s="7"/>
      <c r="R175" s="7"/>
      <c r="S175" s="7"/>
    </row>
    <row r="176" spans="1:19" ht="14.4">
      <c r="A176" s="4"/>
      <c r="B176" s="7"/>
      <c r="C176" s="7"/>
      <c r="D176" s="7"/>
      <c r="E176" s="4"/>
      <c r="I176" s="7"/>
      <c r="J176" s="7"/>
      <c r="K176" s="7"/>
      <c r="L176" s="7"/>
      <c r="M176" s="7"/>
      <c r="N176" s="7"/>
      <c r="O176" s="7"/>
      <c r="P176" s="7"/>
      <c r="Q176" s="7"/>
      <c r="R176" s="7"/>
      <c r="S176" s="7"/>
    </row>
    <row r="177" spans="1:19" ht="14.4">
      <c r="A177" s="4"/>
      <c r="B177" s="7"/>
      <c r="C177" s="7"/>
      <c r="D177" s="7"/>
      <c r="I177" s="7"/>
      <c r="J177" s="7"/>
      <c r="K177" s="7"/>
      <c r="L177" s="7"/>
      <c r="M177" s="7"/>
      <c r="N177" s="7"/>
      <c r="O177" s="7"/>
      <c r="P177" s="7"/>
      <c r="Q177" s="7"/>
      <c r="R177" s="7"/>
      <c r="S177" s="7"/>
    </row>
    <row r="178" spans="1:19" ht="13.8">
      <c r="A178" s="7"/>
      <c r="B178" s="7"/>
      <c r="C178" s="7"/>
      <c r="D178" s="7"/>
      <c r="E178" s="7"/>
      <c r="F178" s="7"/>
      <c r="G178" s="7"/>
      <c r="H178" s="7"/>
      <c r="I178" s="7"/>
      <c r="J178" s="7"/>
      <c r="K178" s="7"/>
      <c r="L178" s="7"/>
      <c r="M178" s="7"/>
      <c r="N178" s="7"/>
      <c r="O178" s="7"/>
      <c r="P178" s="7"/>
      <c r="Q178" s="7"/>
      <c r="R178" s="7"/>
      <c r="S178" s="7"/>
    </row>
  </sheetData>
  <sheetProtection algorithmName="SHA-512" hashValue="lBQBxTHGTEQ891i/59ombBSavZVoCHOG7Gg5Xlr3QdHUbYsU8wMJWkagy38qonffQjCB5BzhqvRBtqH1powVBw==" saltValue="zIxA1d2BYlkW7qcfSwfzD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Income</vt:lpstr>
      <vt:lpstr>Affordability</vt:lpstr>
      <vt:lpstr>Help Notes</vt:lpstr>
      <vt:lpstr>Affordability!Print_Area</vt:lpstr>
      <vt:lpstr>Income!Print_Area</vt:lpstr>
    </vt:vector>
  </TitlesOfParts>
  <Company>Skipton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lou00059</dc:creator>
  <cp:lastModifiedBy>Colin Pytel</cp:lastModifiedBy>
  <cp:lastPrinted>2023-12-13T13:54:20Z</cp:lastPrinted>
  <dcterms:created xsi:type="dcterms:W3CDTF">2008-04-01T11:18:00Z</dcterms:created>
  <dcterms:modified xsi:type="dcterms:W3CDTF">2024-04-16T09:00:54Z</dcterms:modified>
</cp:coreProperties>
</file>