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F:\LOU_OperationsDept\AFFORDABILITY SPREADSHEET MASTER COPIES\AFFORDABILITY CALCULATOR MASTER COPIES TAX YR. 2024-25\Dividend changes 10th April 2024\"/>
    </mc:Choice>
  </mc:AlternateContent>
  <xr:revisionPtr revIDLastSave="0" documentId="8_{7AF8609D-9090-4B17-9A49-948490E696D3}" xr6:coauthVersionLast="47" xr6:coauthVersionMax="47" xr10:uidLastSave="{00000000-0000-0000-0000-000000000000}"/>
  <bookViews>
    <workbookView xWindow="-108" yWindow="-108" windowWidth="23256" windowHeight="12720" xr2:uid="{00000000-000D-0000-FFFF-FFFF00000000}"/>
  </bookViews>
  <sheets>
    <sheet name="Income" sheetId="3" r:id="rId1"/>
    <sheet name="Affordability" sheetId="1" r:id="rId2"/>
    <sheet name="Help Notes" sheetId="7" r:id="rId3"/>
  </sheets>
  <definedNames>
    <definedName name="Content">#REF!</definedName>
    <definedName name="_xlnm.Print_Area" localSheetId="1">Affordability!$A$1:$Z$114</definedName>
    <definedName name="_xlnm.Print_Area" localSheetId="2">'Help Notes'!$A$3:$Y$117</definedName>
    <definedName name="_xlnm.Print_Area" localSheetId="0">Income!$A$1:$I$86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1" l="1"/>
  <c r="D14" i="1"/>
  <c r="K14" i="1" s="1"/>
  <c r="D16" i="1" l="1"/>
  <c r="D17" i="1"/>
  <c r="D73" i="3"/>
  <c r="J7" i="1"/>
  <c r="AC62" i="1"/>
  <c r="AA70" i="1"/>
  <c r="AK70" i="1"/>
  <c r="AA71" i="1" s="1"/>
  <c r="O15" i="3"/>
  <c r="J23" i="3"/>
  <c r="AD44" i="3"/>
  <c r="X44" i="3"/>
  <c r="AD43" i="3"/>
  <c r="X43" i="3"/>
  <c r="AD42" i="3"/>
  <c r="X42" i="3"/>
  <c r="AC41" i="3"/>
  <c r="AE41" i="3" s="1"/>
  <c r="W41" i="3"/>
  <c r="Y41" i="3" s="1"/>
  <c r="AD36" i="3"/>
  <c r="X36" i="3"/>
  <c r="AD35" i="3"/>
  <c r="X35" i="3"/>
  <c r="AD34" i="3"/>
  <c r="X34" i="3"/>
  <c r="AC30" i="3"/>
  <c r="W30" i="3"/>
  <c r="C49" i="1"/>
  <c r="C47" i="1"/>
  <c r="P175" i="1"/>
  <c r="AH88" i="1" l="1"/>
  <c r="AJ88" i="1" s="1"/>
  <c r="AD88" i="1" s="1"/>
  <c r="AH89" i="1"/>
  <c r="AJ89" i="1" s="1"/>
  <c r="AH90" i="1"/>
  <c r="AJ90" i="1" s="1"/>
  <c r="AH91" i="1"/>
  <c r="AJ91" i="1" s="1"/>
  <c r="AH92" i="1"/>
  <c r="AJ92" i="1" s="1"/>
  <c r="AH93" i="1"/>
  <c r="AJ93" i="1" s="1"/>
  <c r="AH94" i="1"/>
  <c r="AJ94" i="1" s="1"/>
  <c r="AH87" i="1"/>
  <c r="AJ87" i="1" s="1"/>
  <c r="AG88" i="1"/>
  <c r="AI88" i="1" s="1"/>
  <c r="AC88" i="1" s="1"/>
  <c r="AG89" i="1"/>
  <c r="AI89" i="1" s="1"/>
  <c r="AG90" i="1"/>
  <c r="AI90" i="1" s="1"/>
  <c r="AG91" i="1"/>
  <c r="AI91" i="1" s="1"/>
  <c r="AG92" i="1"/>
  <c r="AI92" i="1" s="1"/>
  <c r="AG93" i="1"/>
  <c r="AI93" i="1" s="1"/>
  <c r="AG94" i="1"/>
  <c r="AI94" i="1" s="1"/>
  <c r="AG87" i="1"/>
  <c r="AI87" i="1" s="1"/>
  <c r="AC63" i="1"/>
  <c r="AF73" i="1" l="1"/>
  <c r="I73" i="1" s="1"/>
  <c r="R73" i="1" s="1"/>
  <c r="AF72" i="1"/>
  <c r="T46" i="1"/>
  <c r="AF74" i="1"/>
  <c r="S73" i="1" l="1"/>
  <c r="T73" i="1"/>
  <c r="T74" i="1"/>
  <c r="T75" i="1"/>
  <c r="T76" i="1"/>
  <c r="T77" i="1"/>
  <c r="T78" i="1"/>
  <c r="T79" i="1"/>
  <c r="T72" i="1"/>
  <c r="D25" i="1"/>
  <c r="AD68" i="1"/>
  <c r="AD70" i="1" s="1"/>
  <c r="AB73" i="1" s="1"/>
  <c r="L89" i="1"/>
  <c r="L91" i="1"/>
  <c r="AI102" i="1"/>
  <c r="AH102" i="1"/>
  <c r="J95" i="1"/>
  <c r="I95" i="1"/>
  <c r="T81" i="1" l="1"/>
  <c r="V82" i="1" s="1"/>
  <c r="L72" i="1"/>
  <c r="P48" i="1"/>
  <c r="Q17" i="3"/>
  <c r="J22" i="3"/>
  <c r="O79" i="3"/>
  <c r="P46" i="1"/>
  <c r="P45" i="1"/>
  <c r="O41" i="1"/>
  <c r="G113" i="1"/>
  <c r="H11" i="1"/>
  <c r="R11" i="1" s="1"/>
  <c r="O129" i="1" s="1"/>
  <c r="S90" i="1"/>
  <c r="P24" i="1"/>
  <c r="Q24" i="1" s="1"/>
  <c r="P23" i="1"/>
  <c r="Q23" i="1" s="1"/>
  <c r="J31" i="3"/>
  <c r="F11" i="1"/>
  <c r="K15" i="1"/>
  <c r="K17" i="1"/>
  <c r="AP17" i="1"/>
  <c r="D18" i="1"/>
  <c r="AP18" i="1"/>
  <c r="AP19" i="1"/>
  <c r="AP20" i="1"/>
  <c r="AP21" i="1"/>
  <c r="AP22" i="1"/>
  <c r="AP23" i="1"/>
  <c r="AP24" i="1"/>
  <c r="AP25" i="1"/>
  <c r="K28" i="1"/>
  <c r="K29" i="1"/>
  <c r="AG29" i="1"/>
  <c r="AH29" i="1"/>
  <c r="AI29" i="1"/>
  <c r="AJ29" i="1"/>
  <c r="AK29" i="1"/>
  <c r="AL29" i="1"/>
  <c r="AM29" i="1"/>
  <c r="AN29" i="1"/>
  <c r="AO29" i="1"/>
  <c r="AG30" i="1"/>
  <c r="AH30" i="1"/>
  <c r="AI30" i="1"/>
  <c r="AJ30" i="1"/>
  <c r="AK30" i="1"/>
  <c r="AL30" i="1"/>
  <c r="AM30" i="1"/>
  <c r="AN30" i="1"/>
  <c r="AO30" i="1"/>
  <c r="K31" i="1"/>
  <c r="AG31" i="1"/>
  <c r="AH31" i="1"/>
  <c r="AI31" i="1"/>
  <c r="AJ31" i="1"/>
  <c r="AK31" i="1"/>
  <c r="AL31" i="1"/>
  <c r="AM31" i="1"/>
  <c r="AN31" i="1"/>
  <c r="AO31" i="1"/>
  <c r="D32" i="1"/>
  <c r="AG32" i="1"/>
  <c r="AH32" i="1"/>
  <c r="AI32" i="1"/>
  <c r="AJ32" i="1"/>
  <c r="AK32" i="1"/>
  <c r="AL32" i="1"/>
  <c r="AM32" i="1"/>
  <c r="AN32" i="1"/>
  <c r="AO32" i="1"/>
  <c r="K33" i="1"/>
  <c r="AG33" i="1"/>
  <c r="AH33" i="1"/>
  <c r="AI33" i="1"/>
  <c r="AJ33" i="1"/>
  <c r="AK33" i="1"/>
  <c r="AL33" i="1"/>
  <c r="AM33" i="1"/>
  <c r="AN33" i="1"/>
  <c r="AO33" i="1"/>
  <c r="K34" i="1"/>
  <c r="Z34" i="1"/>
  <c r="Y35" i="1" s="1"/>
  <c r="D30" i="1" s="1"/>
  <c r="AG34" i="1"/>
  <c r="AH34" i="1"/>
  <c r="AI34" i="1"/>
  <c r="AJ34" i="1"/>
  <c r="AK34" i="1"/>
  <c r="AL34" i="1"/>
  <c r="AM34" i="1"/>
  <c r="AN34" i="1"/>
  <c r="AO34" i="1"/>
  <c r="K35" i="1"/>
  <c r="AG35" i="1"/>
  <c r="AH35" i="1"/>
  <c r="AI35" i="1"/>
  <c r="AJ35" i="1"/>
  <c r="AK35" i="1"/>
  <c r="AL35" i="1"/>
  <c r="AM35" i="1"/>
  <c r="AN35" i="1"/>
  <c r="AO35" i="1"/>
  <c r="K36" i="1"/>
  <c r="AG36" i="1"/>
  <c r="AH36" i="1"/>
  <c r="AI36" i="1"/>
  <c r="AJ36" i="1"/>
  <c r="AK36" i="1"/>
  <c r="AL36" i="1"/>
  <c r="AM36" i="1"/>
  <c r="AN36" i="1"/>
  <c r="AO36" i="1"/>
  <c r="AG37" i="1"/>
  <c r="AH37" i="1"/>
  <c r="AI37" i="1"/>
  <c r="AJ37" i="1"/>
  <c r="AK37" i="1"/>
  <c r="AL37" i="1"/>
  <c r="AM37" i="1"/>
  <c r="AN37" i="1"/>
  <c r="AO37" i="1"/>
  <c r="K41" i="1"/>
  <c r="K42" i="1"/>
  <c r="AI42" i="1"/>
  <c r="P158" i="1" s="1"/>
  <c r="AI43" i="1"/>
  <c r="P160" i="1" s="1"/>
  <c r="P162" i="1"/>
  <c r="K44" i="1"/>
  <c r="AI44" i="1"/>
  <c r="P159" i="1" s="1"/>
  <c r="P163" i="1"/>
  <c r="K45" i="1"/>
  <c r="AI45" i="1"/>
  <c r="P161" i="1" s="1"/>
  <c r="D43" i="1" s="1"/>
  <c r="Y47" i="1"/>
  <c r="Z47" i="1"/>
  <c r="AF47" i="1"/>
  <c r="P168" i="1"/>
  <c r="K50" i="1"/>
  <c r="AI52" i="1"/>
  <c r="AI53" i="1"/>
  <c r="AI54" i="1"/>
  <c r="P173" i="1"/>
  <c r="K55" i="1"/>
  <c r="AI55" i="1"/>
  <c r="AI56" i="1"/>
  <c r="K57" i="1"/>
  <c r="AF57" i="1"/>
  <c r="P176" i="1"/>
  <c r="K58" i="1"/>
  <c r="AI60" i="1"/>
  <c r="P179" i="1"/>
  <c r="K61" i="1"/>
  <c r="AI61" i="1"/>
  <c r="AI62" i="1"/>
  <c r="AI63" i="1"/>
  <c r="AF64" i="1"/>
  <c r="K72" i="1"/>
  <c r="U72" i="1"/>
  <c r="W72" i="1" s="1"/>
  <c r="L73" i="1"/>
  <c r="U73" i="1"/>
  <c r="W73" i="1" s="1"/>
  <c r="K73" i="1"/>
  <c r="K74" i="1"/>
  <c r="L74" i="1"/>
  <c r="M74" i="1" s="1"/>
  <c r="AG74" i="1" s="1"/>
  <c r="I74" i="1" s="1"/>
  <c r="U74" i="1"/>
  <c r="W74" i="1" s="1"/>
  <c r="K75" i="1"/>
  <c r="L75" i="1"/>
  <c r="M75" i="1" s="1"/>
  <c r="AG75" i="1" s="1"/>
  <c r="U75" i="1"/>
  <c r="W75" i="1" s="1"/>
  <c r="AF75" i="1"/>
  <c r="K76" i="1"/>
  <c r="L76" i="1"/>
  <c r="M76" i="1" s="1"/>
  <c r="AG76" i="1" s="1"/>
  <c r="U76" i="1"/>
  <c r="W76" i="1" s="1"/>
  <c r="AF76" i="1"/>
  <c r="K77" i="1"/>
  <c r="L77" i="1"/>
  <c r="M77" i="1" s="1"/>
  <c r="AG77" i="1" s="1"/>
  <c r="U77" i="1"/>
  <c r="AF77" i="1"/>
  <c r="K78" i="1"/>
  <c r="L78" i="1"/>
  <c r="U78" i="1"/>
  <c r="W78" i="1" s="1"/>
  <c r="AF78" i="1"/>
  <c r="K79" i="1"/>
  <c r="L79" i="1"/>
  <c r="M79" i="1" s="1"/>
  <c r="AG79" i="1" s="1"/>
  <c r="U79" i="1"/>
  <c r="AF79" i="1"/>
  <c r="B80" i="1"/>
  <c r="M143" i="1"/>
  <c r="M145" i="1" s="1"/>
  <c r="M144" i="1"/>
  <c r="J20" i="3"/>
  <c r="K20" i="3"/>
  <c r="J21" i="3"/>
  <c r="K21" i="3"/>
  <c r="K22" i="3"/>
  <c r="K23" i="3"/>
  <c r="J24" i="3"/>
  <c r="K24" i="3"/>
  <c r="J25" i="3"/>
  <c r="K25" i="3"/>
  <c r="J26" i="3"/>
  <c r="K26" i="3"/>
  <c r="J27" i="3"/>
  <c r="K27" i="3"/>
  <c r="J28" i="3"/>
  <c r="K28" i="3"/>
  <c r="J29" i="3"/>
  <c r="K29" i="3"/>
  <c r="J30" i="3"/>
  <c r="K30" i="3"/>
  <c r="K31" i="3"/>
  <c r="J33" i="3"/>
  <c r="K33" i="3"/>
  <c r="J34" i="3"/>
  <c r="K34" i="3"/>
  <c r="J35" i="3"/>
  <c r="K35" i="3"/>
  <c r="J36" i="3"/>
  <c r="K36" i="3"/>
  <c r="J37" i="3"/>
  <c r="K37" i="3"/>
  <c r="J38" i="3"/>
  <c r="K38" i="3"/>
  <c r="J39" i="3"/>
  <c r="K39" i="3"/>
  <c r="J40" i="3"/>
  <c r="K40" i="3"/>
  <c r="J42" i="3"/>
  <c r="K42" i="3"/>
  <c r="J43" i="3"/>
  <c r="K43" i="3"/>
  <c r="J44" i="3"/>
  <c r="K44" i="3"/>
  <c r="J45" i="3"/>
  <c r="K45" i="3"/>
  <c r="J46" i="3"/>
  <c r="K46" i="3"/>
  <c r="J48" i="3"/>
  <c r="K48" i="3"/>
  <c r="J49" i="3"/>
  <c r="K49" i="3"/>
  <c r="J50" i="3"/>
  <c r="K50" i="3"/>
  <c r="J54" i="3"/>
  <c r="K54" i="3"/>
  <c r="J55" i="3"/>
  <c r="K55" i="3"/>
  <c r="H59" i="3"/>
  <c r="F12" i="1" s="1"/>
  <c r="J64" i="3"/>
  <c r="K64" i="3"/>
  <c r="J65" i="3"/>
  <c r="K65" i="3"/>
  <c r="J66" i="3"/>
  <c r="K66" i="3"/>
  <c r="J67" i="3"/>
  <c r="K67" i="3"/>
  <c r="J68" i="3"/>
  <c r="K68" i="3"/>
  <c r="J69" i="3"/>
  <c r="K69" i="3"/>
  <c r="J70" i="3"/>
  <c r="K70" i="3"/>
  <c r="J71" i="3"/>
  <c r="K71" i="3"/>
  <c r="J72" i="3"/>
  <c r="K72" i="3"/>
  <c r="G73" i="3"/>
  <c r="W79" i="1" l="1"/>
  <c r="AI79" i="1" s="1"/>
  <c r="W77" i="1"/>
  <c r="AI77" i="1" s="1"/>
  <c r="D87" i="1"/>
  <c r="M78" i="1"/>
  <c r="AG78" i="1" s="1"/>
  <c r="I78" i="1" s="1"/>
  <c r="O48" i="3"/>
  <c r="AC18" i="3"/>
  <c r="AC17" i="3"/>
  <c r="Q21" i="3"/>
  <c r="Q23" i="3" s="1"/>
  <c r="O25" i="3"/>
  <c r="Q73" i="3" s="1"/>
  <c r="W18" i="3"/>
  <c r="O21" i="3"/>
  <c r="O23" i="3" s="1"/>
  <c r="W17" i="3"/>
  <c r="D40" i="1"/>
  <c r="K40" i="1" s="1"/>
  <c r="Q25" i="3"/>
  <c r="S73" i="3" s="1"/>
  <c r="Q48" i="3"/>
  <c r="AI72" i="1"/>
  <c r="Q72" i="1"/>
  <c r="AH72" i="1" s="1"/>
  <c r="R74" i="1"/>
  <c r="I75" i="1"/>
  <c r="R75" i="1" s="1"/>
  <c r="I79" i="1"/>
  <c r="I77" i="1"/>
  <c r="I76" i="1"/>
  <c r="AF80" i="1"/>
  <c r="M72" i="1"/>
  <c r="AG72" i="1" s="1"/>
  <c r="I72" i="1" s="1"/>
  <c r="K43" i="1"/>
  <c r="O81" i="3"/>
  <c r="P47" i="1"/>
  <c r="K32" i="1"/>
  <c r="AP31" i="1"/>
  <c r="K19" i="1"/>
  <c r="AI73" i="1"/>
  <c r="X73" i="1" s="1"/>
  <c r="R9" i="1"/>
  <c r="O127" i="1" s="1"/>
  <c r="AI64" i="1"/>
  <c r="P167" i="1" s="1"/>
  <c r="AI57" i="1"/>
  <c r="P165" i="1" s="1"/>
  <c r="AP34" i="1"/>
  <c r="AP33" i="1"/>
  <c r="AP30" i="1"/>
  <c r="Q79" i="1"/>
  <c r="AH79" i="1" s="1"/>
  <c r="X79" i="1" s="1"/>
  <c r="O40" i="1"/>
  <c r="Q25" i="1"/>
  <c r="H19" i="1" s="1"/>
  <c r="AP29" i="1"/>
  <c r="K16" i="1"/>
  <c r="AP32" i="1"/>
  <c r="AC12" i="1"/>
  <c r="AC13" i="1" s="1"/>
  <c r="AB15" i="1" s="1"/>
  <c r="AC15" i="1" s="1"/>
  <c r="P174" i="1" s="1"/>
  <c r="D56" i="1" s="1"/>
  <c r="AP37" i="1"/>
  <c r="AP36" i="1"/>
  <c r="AP35" i="1"/>
  <c r="Q78" i="1"/>
  <c r="AH78" i="1" s="1"/>
  <c r="AI78" i="1"/>
  <c r="Q74" i="1"/>
  <c r="AH74" i="1" s="1"/>
  <c r="AI74" i="1"/>
  <c r="K30" i="1"/>
  <c r="AI76" i="1"/>
  <c r="Q76" i="1"/>
  <c r="AH76" i="1" s="1"/>
  <c r="Q75" i="1"/>
  <c r="AH75" i="1" s="1"/>
  <c r="AI75" i="1"/>
  <c r="K18" i="1"/>
  <c r="R10" i="1"/>
  <c r="O128" i="1" s="1"/>
  <c r="R7" i="1"/>
  <c r="O125" i="1" s="1"/>
  <c r="AI47" i="1"/>
  <c r="R8" i="1"/>
  <c r="O126" i="1" s="1"/>
  <c r="M73" i="1"/>
  <c r="AG73" i="1" s="1"/>
  <c r="Q77" i="1" l="1"/>
  <c r="AH77" i="1" s="1"/>
  <c r="X77" i="1" s="1"/>
  <c r="Q34" i="3"/>
  <c r="Q35" i="3"/>
  <c r="O35" i="3"/>
  <c r="O34" i="3"/>
  <c r="O45" i="3" s="1"/>
  <c r="W36" i="3"/>
  <c r="Y36" i="3" s="1"/>
  <c r="O39" i="3" s="1"/>
  <c r="W19" i="3"/>
  <c r="AC36" i="3"/>
  <c r="AE36" i="3" s="1"/>
  <c r="Q39" i="3" s="1"/>
  <c r="AC19" i="3"/>
  <c r="S72" i="1"/>
  <c r="AD87" i="1" s="1"/>
  <c r="R72" i="1"/>
  <c r="AC87" i="1" s="1"/>
  <c r="AC90" i="1"/>
  <c r="AC89" i="1"/>
  <c r="O75" i="1"/>
  <c r="N75" i="1" s="1"/>
  <c r="AJ75" i="1" s="1"/>
  <c r="L85" i="1"/>
  <c r="X75" i="1"/>
  <c r="X78" i="1"/>
  <c r="X74" i="1"/>
  <c r="X76" i="1"/>
  <c r="X72" i="1"/>
  <c r="AE105" i="1" s="1"/>
  <c r="H105" i="1" s="1"/>
  <c r="R76" i="1"/>
  <c r="R78" i="1"/>
  <c r="R79" i="1"/>
  <c r="O77" i="1"/>
  <c r="P77" i="1" s="1"/>
  <c r="S75" i="1"/>
  <c r="AD90" i="1" s="1"/>
  <c r="O74" i="1"/>
  <c r="N74" i="1" s="1"/>
  <c r="AJ74" i="1" s="1"/>
  <c r="AA74" i="1" s="1"/>
  <c r="S74" i="1"/>
  <c r="AD89" i="1" s="1"/>
  <c r="S78" i="1"/>
  <c r="AD93" i="1" s="1"/>
  <c r="R77" i="1"/>
  <c r="S77" i="1"/>
  <c r="AD92" i="1" s="1"/>
  <c r="S76" i="1"/>
  <c r="AD91" i="1" s="1"/>
  <c r="O76" i="1"/>
  <c r="O79" i="1"/>
  <c r="N79" i="1" s="1"/>
  <c r="AJ79" i="1" s="1"/>
  <c r="O78" i="1"/>
  <c r="N78" i="1" s="1"/>
  <c r="S79" i="1"/>
  <c r="AD94" i="1" s="1"/>
  <c r="AG80" i="1"/>
  <c r="T50" i="1"/>
  <c r="T54" i="1" s="1"/>
  <c r="D49" i="1" s="1"/>
  <c r="T49" i="1"/>
  <c r="K56" i="1"/>
  <c r="Q69" i="3"/>
  <c r="Q73" i="1"/>
  <c r="AH73" i="1" s="1"/>
  <c r="A105" i="1" s="1"/>
  <c r="P172" i="1"/>
  <c r="D54" i="1" s="1"/>
  <c r="P166" i="1"/>
  <c r="D48" i="1" s="1"/>
  <c r="P164" i="1"/>
  <c r="D46" i="1" s="1"/>
  <c r="P177" i="1"/>
  <c r="D59" i="1" s="1"/>
  <c r="N156" i="1"/>
  <c r="I27" i="1" s="1"/>
  <c r="P157" i="1"/>
  <c r="D39" i="1" s="1"/>
  <c r="K39" i="1" s="1"/>
  <c r="AI80" i="1"/>
  <c r="P178" i="1"/>
  <c r="D60" i="1" s="1"/>
  <c r="K99" i="1"/>
  <c r="O80" i="3"/>
  <c r="O130" i="1"/>
  <c r="P75" i="1" l="1"/>
  <c r="S69" i="3"/>
  <c r="W28" i="3"/>
  <c r="W29" i="3" s="1"/>
  <c r="W35" i="3" s="1"/>
  <c r="Y35" i="3" s="1"/>
  <c r="O38" i="3" s="1"/>
  <c r="AC28" i="3"/>
  <c r="AC29" i="3" s="1"/>
  <c r="AC35" i="3" s="1"/>
  <c r="AE35" i="3" s="1"/>
  <c r="Q38" i="3" s="1"/>
  <c r="AC93" i="1"/>
  <c r="AC92" i="1"/>
  <c r="AC91" i="1"/>
  <c r="AC94" i="1"/>
  <c r="P74" i="1"/>
  <c r="K91" i="1"/>
  <c r="N77" i="1"/>
  <c r="O72" i="1"/>
  <c r="N72" i="1" s="1"/>
  <c r="AJ72" i="1" s="1"/>
  <c r="K89" i="1"/>
  <c r="S89" i="1" s="1"/>
  <c r="P79" i="1"/>
  <c r="P76" i="1"/>
  <c r="N76" i="1"/>
  <c r="P78" i="1"/>
  <c r="K49" i="1"/>
  <c r="K60" i="1"/>
  <c r="K54" i="1"/>
  <c r="K59" i="1"/>
  <c r="K46" i="1"/>
  <c r="K48" i="1"/>
  <c r="Q45" i="3"/>
  <c r="AA75" i="1"/>
  <c r="O73" i="1"/>
  <c r="N73" i="1" s="1"/>
  <c r="AJ73" i="1" s="1"/>
  <c r="AH80" i="1"/>
  <c r="A106" i="1" s="1"/>
  <c r="X80" i="1"/>
  <c r="AE106" i="1" s="1"/>
  <c r="H106" i="1" s="1"/>
  <c r="P181" i="1"/>
  <c r="P183" i="1" s="1"/>
  <c r="I80" i="1"/>
  <c r="K100" i="1"/>
  <c r="M99" i="1"/>
  <c r="O99" i="1"/>
  <c r="D96" i="1"/>
  <c r="P81" i="3"/>
  <c r="G114" i="1" s="1"/>
  <c r="O82" i="3"/>
  <c r="I111" i="1"/>
  <c r="O134" i="1"/>
  <c r="AC33" i="3" l="1"/>
  <c r="AE33" i="3" s="1"/>
  <c r="W33" i="3"/>
  <c r="W34" i="3" s="1"/>
  <c r="Y34" i="3" s="1"/>
  <c r="O37" i="3" s="1"/>
  <c r="O46" i="3" s="1"/>
  <c r="Q70" i="3" s="1"/>
  <c r="Q71" i="3" s="1"/>
  <c r="AC40" i="3"/>
  <c r="AE40" i="3" s="1"/>
  <c r="W40" i="3"/>
  <c r="AC34" i="3"/>
  <c r="AE34" i="3" s="1"/>
  <c r="Q37" i="3" s="1"/>
  <c r="Q46" i="3" s="1"/>
  <c r="S70" i="3" s="1"/>
  <c r="S71" i="3" s="1"/>
  <c r="P72" i="1"/>
  <c r="AC95" i="1"/>
  <c r="AD95" i="1"/>
  <c r="J89" i="1" s="1"/>
  <c r="AA79" i="1"/>
  <c r="AJ78" i="1"/>
  <c r="AA78" i="1" s="1"/>
  <c r="AJ76" i="1"/>
  <c r="AA76" i="1" s="1"/>
  <c r="AJ77" i="1"/>
  <c r="AA77" i="1" s="1"/>
  <c r="AA72" i="1"/>
  <c r="AI103" i="1"/>
  <c r="S81" i="1"/>
  <c r="R81" i="1"/>
  <c r="P73" i="1"/>
  <c r="D97" i="1"/>
  <c r="L9" i="3"/>
  <c r="N28" i="1"/>
  <c r="Q29" i="1"/>
  <c r="J13" i="1"/>
  <c r="L8" i="3"/>
  <c r="H6" i="3" s="1"/>
  <c r="S91" i="1"/>
  <c r="S92" i="1" s="1"/>
  <c r="Y33" i="3" l="1"/>
  <c r="AC42" i="3"/>
  <c r="W42" i="3"/>
  <c r="Y40" i="3"/>
  <c r="Y37" i="3"/>
  <c r="AC37" i="3"/>
  <c r="W37" i="3"/>
  <c r="AE37" i="3"/>
  <c r="AH103" i="1"/>
  <c r="AA73" i="1"/>
  <c r="AA80" i="1" s="1"/>
  <c r="AJ80" i="1"/>
  <c r="M91" i="1"/>
  <c r="M89" i="1"/>
  <c r="P28" i="1"/>
  <c r="Q28" i="1" s="1"/>
  <c r="O28" i="1"/>
  <c r="T92" i="1"/>
  <c r="AC43" i="3" l="1"/>
  <c r="AE42" i="3"/>
  <c r="Y42" i="3"/>
  <c r="W43" i="3"/>
  <c r="M118" i="1"/>
  <c r="M111" i="1"/>
  <c r="C109" i="1"/>
  <c r="AE43" i="3" l="1"/>
  <c r="AC44" i="3"/>
  <c r="AE44" i="3" s="1"/>
  <c r="Y43" i="3"/>
  <c r="W44" i="3"/>
  <c r="Y44" i="3" s="1"/>
  <c r="J93" i="1"/>
  <c r="J97" i="1" s="1"/>
  <c r="Q111" i="1"/>
  <c r="M112" i="1"/>
  <c r="O111" i="1"/>
  <c r="M119" i="1"/>
  <c r="Q118" i="1"/>
  <c r="O118" i="1"/>
  <c r="Y45" i="3" l="1"/>
  <c r="O47" i="3" s="1"/>
  <c r="O49" i="3" s="1"/>
  <c r="O52" i="3" s="1"/>
  <c r="AE45" i="3"/>
  <c r="Q47" i="3" s="1"/>
  <c r="W45" i="3"/>
  <c r="AC45" i="3"/>
  <c r="P111" i="1"/>
  <c r="P118" i="1"/>
  <c r="Q74" i="3" l="1"/>
  <c r="Q75" i="3" s="1"/>
  <c r="Q77" i="3" s="1"/>
  <c r="Q49" i="3"/>
  <c r="Q52" i="3" s="1"/>
  <c r="S74" i="3"/>
  <c r="S75" i="3" s="1"/>
  <c r="S77" i="3" s="1"/>
  <c r="D57" i="3"/>
  <c r="O54" i="3"/>
  <c r="D59" i="3" s="1"/>
  <c r="C11" i="1" s="1"/>
  <c r="I89" i="1"/>
  <c r="I93" i="1" s="1"/>
  <c r="I97" i="1" s="1"/>
  <c r="T45" i="1"/>
  <c r="T53" i="1" s="1"/>
  <c r="D47" i="1" s="1"/>
  <c r="Q54" i="3" l="1"/>
  <c r="G59" i="3" s="1"/>
  <c r="C12" i="1" s="1"/>
  <c r="K12" i="1" s="1"/>
  <c r="G57" i="3"/>
  <c r="K11" i="1"/>
  <c r="K47" i="1"/>
  <c r="D63" i="1"/>
  <c r="D65" i="1" s="1"/>
  <c r="F65" i="1" s="1"/>
  <c r="D85" i="1" l="1"/>
  <c r="D89" i="1" s="1"/>
  <c r="D111" i="1" s="1"/>
  <c r="D13" i="1"/>
  <c r="D94" i="1" l="1"/>
  <c r="R105" i="1" s="1"/>
  <c r="D100" i="1" s="1"/>
  <c r="O100" i="1" s="1"/>
  <c r="M134" i="1"/>
  <c r="Q134" i="1" s="1"/>
  <c r="E111" i="1" s="1"/>
  <c r="D113" i="1" s="1"/>
  <c r="M100" i="1" l="1"/>
  <c r="M101" i="1" s="1"/>
  <c r="V107" i="1"/>
  <c r="Q119" i="1" s="1"/>
  <c r="Q120" i="1" s="1"/>
  <c r="D107" i="1"/>
  <c r="O112" i="1" s="1"/>
  <c r="O113" i="1" s="1"/>
  <c r="M136" i="1"/>
  <c r="O101" i="1"/>
  <c r="N100" i="1" l="1"/>
  <c r="N101" i="1" s="1"/>
  <c r="S100" i="1" s="1"/>
  <c r="Q112" i="1"/>
  <c r="P112" i="1" s="1"/>
  <c r="P113" i="1" s="1"/>
  <c r="O119" i="1"/>
  <c r="O120" i="1" s="1"/>
  <c r="Q113" i="1" l="1"/>
  <c r="E107" i="1" s="1"/>
  <c r="P119" i="1"/>
  <c r="P120" i="1" s="1"/>
  <c r="W10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Colin Pytel</author>
  </authors>
  <commentList>
    <comment ref="D22" authorId="0" shapeId="0" xr:uid="{00000000-0006-0000-0100-000001000000}">
      <text>
        <r>
          <rPr>
            <sz val="9"/>
            <color indexed="81"/>
            <rFont val="Tahoma"/>
            <family val="2"/>
          </rPr>
          <t xml:space="preserve">The retirement status of </t>
        </r>
        <r>
          <rPr>
            <b/>
            <u/>
            <sz val="9"/>
            <color indexed="81"/>
            <rFont val="Tahoma"/>
            <family val="2"/>
          </rPr>
          <t>both</t>
        </r>
        <r>
          <rPr>
            <sz val="9"/>
            <color indexed="81"/>
            <rFont val="Tahoma"/>
            <family val="2"/>
          </rPr>
          <t xml:space="preserve"> applicants must be completed to ensure that tax is correctly deducted.  If there is no second applicant "N/A" can be selected.
</t>
        </r>
      </text>
    </comment>
    <comment ref="A35" authorId="0" shapeId="0" xr:uid="{00000000-0006-0000-0100-000002000000}">
      <text>
        <r>
          <rPr>
            <sz val="9"/>
            <color indexed="81"/>
            <rFont val="Tahoma"/>
            <family val="2"/>
          </rPr>
          <t xml:space="preserve">Including Ground Rent &amp; Service Charges.
</t>
        </r>
      </text>
    </comment>
    <comment ref="A36" authorId="0" shapeId="0" xr:uid="{00000000-0006-0000-0100-000003000000}">
      <text>
        <r>
          <rPr>
            <sz val="9"/>
            <color indexed="81"/>
            <rFont val="Tahoma"/>
            <family val="2"/>
          </rPr>
          <t xml:space="preserve">Complete when the customer has an Interest-only mortgage &amp; affordability has not been assessed on a capital &amp; interest basis.
</t>
        </r>
      </text>
    </comment>
    <comment ref="W39" authorId="0" shapeId="0" xr:uid="{00000000-0006-0000-0100-000005000000}">
      <text>
        <r>
          <rPr>
            <sz val="9"/>
            <color indexed="81"/>
            <rFont val="Tahoma"/>
            <family val="2"/>
          </rPr>
          <t xml:space="preserve">Please note that the ONS data in respect of motor vehicle running costs &amp; public transport is statistical based on an average English household.  In the notes to expenditure please provide any additional supporting information, e.g. Company car, walk to work, two vehicles, etc..
</t>
        </r>
      </text>
    </comment>
    <comment ref="W46" authorId="0" shapeId="0" xr:uid="{00000000-0006-0000-0100-000006000000}">
      <text>
        <r>
          <rPr>
            <sz val="9"/>
            <color indexed="81"/>
            <rFont val="Tahoma"/>
            <family val="2"/>
          </rPr>
          <t xml:space="preserve">Including rail and bus fares, etc.
</t>
        </r>
      </text>
    </comment>
    <comment ref="A54" authorId="0" shapeId="0" xr:uid="{2ECAF078-DF7C-4025-928A-848494754DE0}">
      <text>
        <r>
          <rPr>
            <sz val="9"/>
            <color indexed="81"/>
            <rFont val="Tahoma"/>
            <family val="2"/>
          </rPr>
          <t>E.g. Netflix, Amazon Prime, Gym membership,eating out, cinema, takeaways, etc.</t>
        </r>
        <r>
          <rPr>
            <sz val="9"/>
            <color indexed="81"/>
            <rFont val="Tahoma"/>
            <family val="2"/>
          </rPr>
          <t xml:space="preserve">
</t>
        </r>
      </text>
    </comment>
    <comment ref="A73" authorId="0" shapeId="0" xr:uid="{B5D158F7-30C6-4AB4-8785-C4BF73FF4FF7}">
      <text>
        <r>
          <rPr>
            <sz val="9"/>
            <color indexed="81"/>
            <rFont val="Tahoma"/>
            <family val="2"/>
          </rPr>
          <t xml:space="preserve">Complete this row if any or all of the new loan is on an Interest-only basis.
</t>
        </r>
      </text>
    </comment>
    <comment ref="V73" authorId="0" shapeId="0" xr:uid="{D7958543-E612-4A65-AA6D-3CF315F0C711}">
      <text>
        <r>
          <rPr>
            <sz val="9"/>
            <color indexed="81"/>
            <rFont val="Tahoma"/>
            <family val="2"/>
          </rPr>
          <t xml:space="preserve">Complete this row if any or all of the new loan is on an Interest-only basis.
</t>
        </r>
      </text>
    </comment>
    <comment ref="D107" authorId="0" shapeId="0" xr:uid="{00000000-0006-0000-0100-000010000000}">
      <text>
        <r>
          <rPr>
            <b/>
            <sz val="9"/>
            <color indexed="81"/>
            <rFont val="Tahoma"/>
            <family val="2"/>
          </rPr>
          <t xml:space="preserve">% FREE INCOME AT STRESS TEST
Retired households
</t>
        </r>
        <r>
          <rPr>
            <sz val="9"/>
            <color indexed="81"/>
            <rFont val="Tahoma"/>
            <family val="2"/>
          </rPr>
          <t>Above 20% free income = GREEN
0 - 20% free income = AMBER
Less than 0% Free income = RED</t>
        </r>
        <r>
          <rPr>
            <b/>
            <sz val="9"/>
            <color indexed="81"/>
            <rFont val="Tahoma"/>
            <family val="2"/>
          </rPr>
          <t xml:space="preserve">
Non-retired households
</t>
        </r>
        <r>
          <rPr>
            <sz val="9"/>
            <color indexed="81"/>
            <rFont val="Tahoma"/>
            <family val="2"/>
          </rPr>
          <t>Above 10% free income = GREEN
0 - 10% free income = AMBER
Less than 0% free income = RED</t>
        </r>
        <r>
          <rPr>
            <b/>
            <sz val="9"/>
            <color indexed="81"/>
            <rFont val="Tahoma"/>
            <family val="2"/>
          </rPr>
          <t xml:space="preserve"> </t>
        </r>
        <r>
          <rPr>
            <sz val="9"/>
            <color indexed="81"/>
            <rFont val="Tahoma"/>
            <family val="2"/>
          </rPr>
          <t xml:space="preserve">
</t>
        </r>
      </text>
    </comment>
    <comment ref="V107" authorId="0" shapeId="0" xr:uid="{00000000-0006-0000-0100-000011000000}">
      <text>
        <r>
          <rPr>
            <b/>
            <sz val="9"/>
            <color indexed="81"/>
            <rFont val="Tahoma"/>
            <family val="2"/>
          </rPr>
          <t>% FREE INCOME AT STRESS TEST</t>
        </r>
        <r>
          <rPr>
            <sz val="9"/>
            <color indexed="81"/>
            <rFont val="Tahoma"/>
            <family val="2"/>
          </rPr>
          <t xml:space="preserve">
</t>
        </r>
        <r>
          <rPr>
            <b/>
            <sz val="9"/>
            <color indexed="81"/>
            <rFont val="Tahoma"/>
            <family val="2"/>
          </rPr>
          <t xml:space="preserve">
Retired households</t>
        </r>
        <r>
          <rPr>
            <sz val="9"/>
            <color indexed="81"/>
            <rFont val="Tahoma"/>
            <family val="2"/>
          </rPr>
          <t xml:space="preserve">
Above 20% free income = GREEN
0 - 20% free income = AMBER
Less than 0% Free income = RED
</t>
        </r>
        <r>
          <rPr>
            <b/>
            <sz val="9"/>
            <color indexed="81"/>
            <rFont val="Tahoma"/>
            <family val="2"/>
          </rPr>
          <t xml:space="preserve">
Non-retired households</t>
        </r>
        <r>
          <rPr>
            <sz val="9"/>
            <color indexed="81"/>
            <rFont val="Tahoma"/>
            <family val="2"/>
          </rPr>
          <t xml:space="preserve">
Above 10% free income = GREEN
0 - 10% free income = AMBER
Less than 0% free income = RED 
</t>
        </r>
      </text>
    </comment>
  </commentList>
</comments>
</file>

<file path=xl/sharedStrings.xml><?xml version="1.0" encoding="utf-8"?>
<sst xmlns="http://schemas.openxmlformats.org/spreadsheetml/2006/main" count="1003" uniqueCount="587">
  <si>
    <t>Applicant 1</t>
  </si>
  <si>
    <t>Applicant 2</t>
  </si>
  <si>
    <t>Child Maintenance</t>
  </si>
  <si>
    <t>Total</t>
  </si>
  <si>
    <t>Council Tax</t>
  </si>
  <si>
    <t>Frequency</t>
  </si>
  <si>
    <t>Annual</t>
  </si>
  <si>
    <t>Totals</t>
  </si>
  <si>
    <t>Monthly</t>
  </si>
  <si>
    <t>Credit Cards</t>
  </si>
  <si>
    <t>Credit Card</t>
  </si>
  <si>
    <t>Balance</t>
  </si>
  <si>
    <t>%</t>
  </si>
  <si>
    <t>B</t>
  </si>
  <si>
    <t>Weekly</t>
  </si>
  <si>
    <t>Net Pay:</t>
  </si>
  <si>
    <t>Term</t>
  </si>
  <si>
    <t>Applicant Name</t>
  </si>
  <si>
    <t>Account Number</t>
  </si>
  <si>
    <t>BUDGET CALCULATOR</t>
  </si>
  <si>
    <t>INCOME</t>
  </si>
  <si>
    <t>Total Annual Income After Tax</t>
  </si>
  <si>
    <t>Total Annual Spending</t>
  </si>
  <si>
    <t>Total Left Over</t>
  </si>
  <si>
    <t>Disposable Monthly Income</t>
  </si>
  <si>
    <t>Net Disposable Monthy Income</t>
  </si>
  <si>
    <t>The % Free Income would be:</t>
  </si>
  <si>
    <t>Half-Yearly</t>
  </si>
  <si>
    <t>Date:</t>
  </si>
  <si>
    <t>Committed Expenditure</t>
  </si>
  <si>
    <t>Loans / HP</t>
  </si>
  <si>
    <t>Basic Essential Expenditure</t>
  </si>
  <si>
    <t>Buildings Insurance</t>
  </si>
  <si>
    <t>Life &amp; Health Assurance</t>
  </si>
  <si>
    <t>Basic Quality of Living Costs</t>
  </si>
  <si>
    <t xml:space="preserve"> </t>
  </si>
  <si>
    <t>Clothing</t>
  </si>
  <si>
    <t>Other</t>
  </si>
  <si>
    <t>Deductions</t>
  </si>
  <si>
    <t>% Used</t>
  </si>
  <si>
    <t>Self-employed (Share of Net Profits)</t>
  </si>
  <si>
    <t>Self-employed (Dividends)</t>
  </si>
  <si>
    <t>Guaranteed shift allowance</t>
  </si>
  <si>
    <t>Guaranteed car allowance</t>
  </si>
  <si>
    <t>Regular shift allowance</t>
  </si>
  <si>
    <t>Bursary (evidence required)</t>
  </si>
  <si>
    <t>Rental Income</t>
  </si>
  <si>
    <t>Regular overtime</t>
  </si>
  <si>
    <t>Basic gross salary</t>
  </si>
  <si>
    <t>Annually</t>
  </si>
  <si>
    <t>Amount</t>
  </si>
  <si>
    <t>Used</t>
  </si>
  <si>
    <t>All Income</t>
  </si>
  <si>
    <t>Tax Code</t>
  </si>
  <si>
    <t>NI Rate (Primary threshold to upper earning limit)</t>
  </si>
  <si>
    <t>NI Rate (Above upper earnings limit)</t>
  </si>
  <si>
    <t>NIC Income Basic</t>
  </si>
  <si>
    <t>NIC Income Higher</t>
  </si>
  <si>
    <t>Tax Income Basic</t>
  </si>
  <si>
    <t>Tax Income Higher</t>
  </si>
  <si>
    <t>Total Deductions</t>
  </si>
  <si>
    <t>Expenditure</t>
  </si>
  <si>
    <t>Housing</t>
  </si>
  <si>
    <t>Comms</t>
  </si>
  <si>
    <t>Health</t>
  </si>
  <si>
    <t>Food</t>
  </si>
  <si>
    <t>Alcohol</t>
  </si>
  <si>
    <t>Recreation</t>
  </si>
  <si>
    <t>Transport</t>
  </si>
  <si>
    <t>Power</t>
  </si>
  <si>
    <t>Number of adults</t>
  </si>
  <si>
    <t>1 adult, 1 child</t>
  </si>
  <si>
    <t>C</t>
  </si>
  <si>
    <t>Number of children</t>
  </si>
  <si>
    <t>1 Adult</t>
  </si>
  <si>
    <t>A</t>
  </si>
  <si>
    <t>1 adult, 0 children</t>
  </si>
  <si>
    <t>2 Adults</t>
  </si>
  <si>
    <t>1 Adult 1 Child</t>
  </si>
  <si>
    <t>1 adult, 2 children</t>
  </si>
  <si>
    <t>D</t>
  </si>
  <si>
    <t>1 Adult 2 Childs</t>
  </si>
  <si>
    <t>Communication</t>
  </si>
  <si>
    <t>2 adults, 0 children</t>
  </si>
  <si>
    <t>2 Adults 1 Child</t>
  </si>
  <si>
    <t>E</t>
  </si>
  <si>
    <t>2 adults, 1 child</t>
  </si>
  <si>
    <t>2 Adults 2 Childs</t>
  </si>
  <si>
    <t>F</t>
  </si>
  <si>
    <t>Food/Groceries</t>
  </si>
  <si>
    <t>2 adults, 2 children</t>
  </si>
  <si>
    <t>2 Adults 3 Childs</t>
  </si>
  <si>
    <t>G</t>
  </si>
  <si>
    <t>2 adults, 3 children</t>
  </si>
  <si>
    <t>HOUSEHOLD SIZE</t>
  </si>
  <si>
    <t>Other Income</t>
  </si>
  <si>
    <t>Annual Total</t>
  </si>
  <si>
    <t>Variance</t>
  </si>
  <si>
    <t>Monthly Total</t>
  </si>
  <si>
    <t>Essential &amp; Quality of Life Monthly Total</t>
  </si>
  <si>
    <t>Essential &amp; Quality of Life Annual Total</t>
  </si>
  <si>
    <t>ONS HOUSEHOLD STATISTICS</t>
  </si>
  <si>
    <t>Actual</t>
  </si>
  <si>
    <t>Stress</t>
  </si>
  <si>
    <t>Month</t>
  </si>
  <si>
    <t>*</t>
  </si>
  <si>
    <t>*N.B. Totals assume Council Tax is paid for 10 months - monthly total includes ten twelfths of the monthly amount</t>
  </si>
  <si>
    <t>1st clause</t>
  </si>
  <si>
    <r>
      <t>Other Income -</t>
    </r>
    <r>
      <rPr>
        <b/>
        <sz val="10"/>
        <color indexed="10"/>
        <rFont val="Tahoma"/>
        <family val="2"/>
      </rPr>
      <t xml:space="preserve"> THESE MUST BE MONTHLY</t>
    </r>
  </si>
  <si>
    <t>Student loan</t>
  </si>
  <si>
    <t>Childcare vouchers</t>
  </si>
  <si>
    <t>Water</t>
  </si>
  <si>
    <t>Gas</t>
  </si>
  <si>
    <t>Electricity</t>
  </si>
  <si>
    <t>Other Heating</t>
  </si>
  <si>
    <t>Tax Income Highest</t>
  </si>
  <si>
    <t>SVR</t>
  </si>
  <si>
    <t>Household</t>
  </si>
  <si>
    <t>Services</t>
  </si>
  <si>
    <t>Fixed</t>
  </si>
  <si>
    <t>Variable</t>
  </si>
  <si>
    <t>1 if fixed</t>
  </si>
  <si>
    <t>1 if 5 year</t>
  </si>
  <si>
    <t>2 if fixed 5yr</t>
  </si>
  <si>
    <t>Household goods &amp; repairs</t>
  </si>
  <si>
    <t>Sub</t>
  </si>
  <si>
    <t>Actual rate</t>
  </si>
  <si>
    <t>Stress rate</t>
  </si>
  <si>
    <t>Less Mortgage Payment on current borrowing</t>
  </si>
  <si>
    <t>Loan</t>
  </si>
  <si>
    <t>Product term</t>
  </si>
  <si>
    <t>5yr fixed?</t>
  </si>
  <si>
    <t>Less Mortgage Payment Per ESIS</t>
  </si>
  <si>
    <t>Term discount</t>
  </si>
  <si>
    <t>Personal / Occupational Pension</t>
  </si>
  <si>
    <t>State Retirement Pension</t>
  </si>
  <si>
    <t>Investment / Trust Income</t>
  </si>
  <si>
    <t>Pension contributions</t>
  </si>
  <si>
    <t>Yes</t>
  </si>
  <si>
    <t>No</t>
  </si>
  <si>
    <t>N/A</t>
  </si>
  <si>
    <t>Number Retired</t>
  </si>
  <si>
    <t>Non-retired</t>
  </si>
  <si>
    <t>1 retired adult, no children</t>
  </si>
  <si>
    <t>H</t>
  </si>
  <si>
    <t>2 retired adult, no children</t>
  </si>
  <si>
    <t>I</t>
  </si>
  <si>
    <t>National Insurance</t>
  </si>
  <si>
    <t>Retired</t>
  </si>
  <si>
    <t>Non retired</t>
  </si>
  <si>
    <t>Red</t>
  </si>
  <si>
    <t>Amber</t>
  </si>
  <si>
    <t>Green</t>
  </si>
  <si>
    <t>Bursary</t>
  </si>
  <si>
    <t>Petrol</t>
  </si>
  <si>
    <t>Road Tax</t>
  </si>
  <si>
    <t>Notes to the expenditure</t>
  </si>
  <si>
    <t>% Free Income would be</t>
  </si>
  <si>
    <t>Repayment</t>
  </si>
  <si>
    <t>Interest-only</t>
  </si>
  <si>
    <t xml:space="preserve">Smoker(s) </t>
  </si>
  <si>
    <t>Interest-only CMS</t>
  </si>
  <si>
    <t>Rept CMS</t>
  </si>
  <si>
    <t>Rep Stress CMS</t>
  </si>
  <si>
    <t>IO Stress CMS</t>
  </si>
  <si>
    <t>Cigarettes</t>
  </si>
  <si>
    <t>New loan RP</t>
  </si>
  <si>
    <t>STRESS TESTING ON A CAPITAL REPAYMENT BASIS</t>
  </si>
  <si>
    <t>INCOME MULTIPLE x GROSS INCOME</t>
  </si>
  <si>
    <t>MONTHLY SUMMARY BASED ON THE LOAN REPAYMENT METHOD(s)</t>
  </si>
  <si>
    <t>STRESS TESTING BASED ON THE LOAN REPAYMENT METHOD(s)</t>
  </si>
  <si>
    <t>ANNUAL BUDGET SUMMARY</t>
  </si>
  <si>
    <t>Motor vehicle running costs</t>
  </si>
  <si>
    <t>Petrol, etc.</t>
  </si>
  <si>
    <t>Other costs</t>
  </si>
  <si>
    <t>Public transport costs</t>
  </si>
  <si>
    <t>Rail / tube fares</t>
  </si>
  <si>
    <t>Bus fares</t>
  </si>
  <si>
    <t>Combined fares</t>
  </si>
  <si>
    <t>Other travel costs</t>
  </si>
  <si>
    <t xml:space="preserve">Parking </t>
  </si>
  <si>
    <t>Personal Transport</t>
  </si>
  <si>
    <t>Public Transport</t>
  </si>
  <si>
    <t>Monthly Travel Costs Breakdown</t>
  </si>
  <si>
    <t>Spares &amp; accessories</t>
  </si>
  <si>
    <t>Repairs, servicing…</t>
  </si>
  <si>
    <t>Motor Insurance</t>
  </si>
  <si>
    <t>Public transport</t>
  </si>
  <si>
    <t>MOT, repairs, servicing, etc.</t>
  </si>
  <si>
    <t>Deductions after tax</t>
  </si>
  <si>
    <t>Deductions before tax</t>
  </si>
  <si>
    <t>Other deductions after tax</t>
  </si>
  <si>
    <t>Let to Buy Shortfall Calculator</t>
  </si>
  <si>
    <t>Mortgage Payment</t>
  </si>
  <si>
    <t>Shortfall</t>
  </si>
  <si>
    <t>Let to Buy Shortfall</t>
  </si>
  <si>
    <t>To start a new line press Alt + Return</t>
  </si>
  <si>
    <t>Stress test on loan repayment method</t>
  </si>
  <si>
    <t>STRESS RESULTS</t>
  </si>
  <si>
    <t>PASS</t>
  </si>
  <si>
    <t>REFER</t>
  </si>
  <si>
    <t>DECLINE</t>
  </si>
  <si>
    <t>% Free Income based on actual CMS</t>
  </si>
  <si>
    <t>Actual Multiple</t>
  </si>
  <si>
    <t>Number</t>
  </si>
  <si>
    <t>Part &amp; Part</t>
  </si>
  <si>
    <t>Cap. Rep.</t>
  </si>
  <si>
    <t>Interest -only</t>
  </si>
  <si>
    <t>Monthly Net Income</t>
  </si>
  <si>
    <t>Code letter</t>
  </si>
  <si>
    <t xml:space="preserve"> (N.B. Not currently used)</t>
  </si>
  <si>
    <t>% Free Income actual CMS - NOT CURRENTLY USED</t>
  </si>
  <si>
    <t>Actual CMS PASS / FAIL result</t>
  </si>
  <si>
    <r>
      <t xml:space="preserve">Where 50% is indicated enter the </t>
    </r>
    <r>
      <rPr>
        <u/>
        <sz val="10"/>
        <rFont val="Tahoma"/>
        <family val="2"/>
      </rPr>
      <t xml:space="preserve">FULL </t>
    </r>
    <r>
      <rPr>
        <sz val="10"/>
        <rFont val="Tahoma"/>
        <family val="2"/>
      </rPr>
      <t xml:space="preserve">amount &amp; this will automatically be amended to 50% in </t>
    </r>
    <r>
      <rPr>
        <u/>
        <sz val="10"/>
        <rFont val="Tahoma"/>
        <family val="2"/>
      </rPr>
      <t>all</t>
    </r>
    <r>
      <rPr>
        <sz val="10"/>
        <rFont val="Tahoma"/>
        <family val="2"/>
      </rPr>
      <t xml:space="preserve"> calculations.</t>
    </r>
  </si>
  <si>
    <t>APPLICANT NAME</t>
  </si>
  <si>
    <t>N.B.  No tax will be deducted from the following figures and evidence of income will be required.</t>
  </si>
  <si>
    <t>IMPORTANT -Amend the income frequency as required.</t>
  </si>
  <si>
    <t>Total of Other Income Sources*</t>
  </si>
  <si>
    <t xml:space="preserve">*All other income will be carried over separately to the Affordability tab and where indicated, 50% of income will be applied.  </t>
  </si>
  <si>
    <t>Lease, maintenance, ground rent &amp; service charges</t>
  </si>
  <si>
    <t>Shared Ownership Rental commitment</t>
  </si>
  <si>
    <t>Self Build Residential Mortgage / Rent commitment</t>
  </si>
  <si>
    <t xml:space="preserve">Interest-only Repayment Strategy </t>
  </si>
  <si>
    <t>(Maintenance)</t>
  </si>
  <si>
    <t>(Bursary)</t>
  </si>
  <si>
    <t>(Benefits)</t>
  </si>
  <si>
    <t>(Child benefit)</t>
  </si>
  <si>
    <t>(WFTC)</t>
  </si>
  <si>
    <t>(Other)</t>
  </si>
  <si>
    <t>Self Build</t>
  </si>
  <si>
    <t>PLEASE NOTE THAT ALL CELLS IN YELLOW CAN BE POPULATED WITH INFORMATION.</t>
  </si>
  <si>
    <t>Help - Income Tab</t>
  </si>
  <si>
    <t>Tax code</t>
  </si>
  <si>
    <t>Enter the Tax code numbers in cells D14 and G14, if known, and the tax code letter in cells E14 and H14, if known, otherwise leave blank.</t>
  </si>
  <si>
    <t>Other regular but not guaranteed income</t>
  </si>
  <si>
    <t xml:space="preserve">Input regular non-guaranteed overtime, commission, bonuses, etc.   From the dropdown list remember to choose either Annual, Monthly or Weekly.  </t>
  </si>
  <si>
    <t xml:space="preserve">Input pension contributions, Childcare vouchers or other non-taxable deductions.  From the dropdown list remember to choose either Annual, Monthly or Weekly.   </t>
  </si>
  <si>
    <t xml:space="preserve">Input student loans, or other deductions that are not eligible for tax relief.  From the dropdown list remember to choose either Annual, Monthly or Weekly. </t>
  </si>
  <si>
    <t>This field calculates the amount of net monthly income and is carried over to the Affordability tab.</t>
  </si>
  <si>
    <t>Input full amounts for monthly maintenance, bursaries, rental income, etc. or other non-taxable income.  These figures are carried forward and itemised on the Affordability tab at either 100% or 50%.  Evidence will be required.</t>
  </si>
  <si>
    <t>Total of Other Income Sources</t>
  </si>
  <si>
    <t>This field will calculate the monthly total of all other income based on either 50% or 100% of the individual amounts entered.</t>
  </si>
  <si>
    <t>Help - Affordability Tab - All commitments should be entered as monthly</t>
  </si>
  <si>
    <t>Income - Net Pay</t>
  </si>
  <si>
    <t>Each applicant's net monthly income is pulled through from the Income tab.</t>
  </si>
  <si>
    <t>Other income</t>
  </si>
  <si>
    <r>
      <t>Other income such as Working Family tax credit, Child benefit, etc. are pulled through from the Income tab.</t>
    </r>
    <r>
      <rPr>
        <b/>
        <sz val="11"/>
        <rFont val="Calibri"/>
        <family val="2"/>
      </rPr>
      <t xml:space="preserve">  IMPORTANT - No tax has been deducted from these figures.</t>
    </r>
  </si>
  <si>
    <t>Household size</t>
  </si>
  <si>
    <t>Household size - retirement status</t>
  </si>
  <si>
    <t>Committed expenditure</t>
  </si>
  <si>
    <t>Shared ownership (rental commitment)</t>
  </si>
  <si>
    <t>If this is a Self-build application, input the borrower's current rental or mortgage commitment.</t>
  </si>
  <si>
    <t>Input the monthly amount of any secured or unsecured loans held by the borrower(s).</t>
  </si>
  <si>
    <t xml:space="preserve">Credit Card / Store Card Monthly Payments </t>
  </si>
  <si>
    <t>Input the credit card or store card balance into the cell to the right of the committed expenditure.  The calculator will carry over a monthly commitment of 3% of the balance input.</t>
  </si>
  <si>
    <t>Maintenance / CSA Payments</t>
  </si>
  <si>
    <t>Input the amount of any maintenance or CSA payments the borrower(s) has to make.</t>
  </si>
  <si>
    <t>Input all leasehold, maintenance costs, etc. associated with the property.</t>
  </si>
  <si>
    <t>Utilities (Gas, Water, Electricity)</t>
  </si>
  <si>
    <t xml:space="preserve">Input the total amount of the Gas, Water and Electricity payments declared by the borrower. </t>
  </si>
  <si>
    <t>Council tax</t>
  </si>
  <si>
    <t>When inputting the council tax payment enter the monthly payment declared by the borrower(s).  The calculator assumes Council Tax is paid over 10 months and uses ten twelfths of the monthly amount.</t>
  </si>
  <si>
    <t>Recreation costs, personal goods, etc.</t>
  </si>
  <si>
    <t>Input the total monthly amount of all basic quality of living costs declared by the borrower(s).</t>
  </si>
  <si>
    <t>Smoker(s)?</t>
  </si>
  <si>
    <t>Use the dropdown list to indicate whether the borrower(s) is a smoker or not.</t>
  </si>
  <si>
    <t>Use this section to enter any supporting information to the expenditure you consider to be relevant such as company car, borrower walks to work, etc.</t>
  </si>
  <si>
    <r>
      <t xml:space="preserve">The calculator shows the monthly and annual totals for the Essential and Basic Quality of Living costs declared but </t>
    </r>
    <r>
      <rPr>
        <b/>
        <u/>
        <sz val="11"/>
        <rFont val="Calibri"/>
        <family val="2"/>
      </rPr>
      <t>not</t>
    </r>
    <r>
      <rPr>
        <sz val="11"/>
        <rFont val="Calibri"/>
        <family val="2"/>
      </rPr>
      <t xml:space="preserve"> the committed expenditure.</t>
    </r>
  </si>
  <si>
    <t>Loan details</t>
  </si>
  <si>
    <t>Full details of loan</t>
  </si>
  <si>
    <t>Stress rates</t>
  </si>
  <si>
    <t>Annual budget summary</t>
  </si>
  <si>
    <t>This shows the borrower's total annual income after tax, less their total annual spending.</t>
  </si>
  <si>
    <t>Monthly summary based on loan repayment method(s)</t>
  </si>
  <si>
    <t>This calculates the borrower's net disposable monthly income after the actual calendar monthly subscription is deducted and shows the % Free Income.</t>
  </si>
  <si>
    <t>Stress testing based on a capital repayment basis</t>
  </si>
  <si>
    <t>This states what the stressed interest rate is and the calendar monthly subscription at the stress rate based on a capital repayment method.</t>
  </si>
  <si>
    <t>Retired households</t>
  </si>
  <si>
    <t>Above 20% free income = GREEN / PASS</t>
  </si>
  <si>
    <t>Less than 20% free income = RED / FAIL</t>
  </si>
  <si>
    <t>Non-retired households</t>
  </si>
  <si>
    <t>Above 10% free income = GREEN /PASS</t>
  </si>
  <si>
    <t>0 - 10% free income = AMBER / REFER</t>
  </si>
  <si>
    <t xml:space="preserve">Less than 0% free income = RED / FAIL </t>
  </si>
  <si>
    <t>Stress testing based on the actual loan repayment method</t>
  </si>
  <si>
    <t>This states what the stressed interest rate is and the calendar monthly subscription at the stress rate based on the actual repayment method, e.g. Capital repayment, Interest-only or Part and Part.</t>
  </si>
  <si>
    <t>Income multiple x Gross Income</t>
  </si>
  <si>
    <t xml:space="preserve">This states the actual income multiple applied to the case based on Gross Income, less committed expenditure.  The maximum income multiple permitted under the Society's Lending Criteria is displayed to the right of the actual income multiple.   </t>
  </si>
  <si>
    <t>Maximum Income Multiples</t>
  </si>
  <si>
    <t>Non-retired households - 4.5 x Gross Income, less committed expenditure.</t>
  </si>
  <si>
    <t>Retired households - 4.5 x Gross Income, less committed expenditure / Age 80 or over - 3.5 X Gross Income, less committed expenditure.</t>
  </si>
  <si>
    <t>Self Build - 4.25 x Gross Income, less committed expenditure.</t>
  </si>
  <si>
    <t>If the Income Multiple is exceeded it will display as RED / FAIL.  If it is within the permitted Income Multiple it will display as GREEN / PASS.</t>
  </si>
  <si>
    <t>Projected Affordability Calculator</t>
  </si>
  <si>
    <t>For retired households under the age of 80 the permitted income multiple is 4.5 x and for the age of 80 it is 3.5 x.</t>
  </si>
  <si>
    <t>Basic Gross Salary</t>
  </si>
  <si>
    <t xml:space="preserve">Input the annual, monthly or weekly gross income for each applicant.  From the dropdown list remember to choose either Annual, Monthly or Weekly. </t>
  </si>
  <si>
    <t>Self-employed &amp; Other Guaranteed Income types</t>
  </si>
  <si>
    <t xml:space="preserve">Input self-employed income or guaranteed overtime, commission, bonuses, etc.   From the dropdown list remember to choose either Annual, Monthly or Weekly.  </t>
  </si>
  <si>
    <t>THE FOLLOWING INCOME TYPES WILL USE 100% OF THE INCOME ENTERED</t>
  </si>
  <si>
    <t>THE FOLLOWING INCOME TYPES WILL USE 50% OF THE INCOME ENTERED</t>
  </si>
  <si>
    <t>THE FOLLOWING WILL BE DEDUCTED FROM THE INCOME</t>
  </si>
  <si>
    <t>THE FOLLOWING MUST BE ENTERED AS MONTHLY AMOUNTS.  NO TAX WILL BE DEDUCTED AND EITHER 50% OR 100% WILL BE USED BASED ON THE INCOME TYPE</t>
  </si>
  <si>
    <t>If this is a Shared Ownership application, input the borrower's rental commitment to the Housing Association.</t>
  </si>
  <si>
    <t>Input in the Let to Buy Shortfall calculator to the right of the Credit Card Balance the monthly amount of any residential mortgage or rental commitments held by the borrower(s) that will continue should this mortgage complete .</t>
  </si>
  <si>
    <t>Interest-only Repayment Strategy</t>
  </si>
  <si>
    <t>Input essential motoring travel costs into the "Monthly Travel Costs Breakdown" section to the right of the Basic Essential Expenditure section.</t>
  </si>
  <si>
    <t>Input any premiums in respect of life and health assurance.</t>
  </si>
  <si>
    <t>Input essential public transport travel costs into the "Monthly Travel Costs Breakdown" section to the right of the Basic Essential Expenditure section.</t>
  </si>
  <si>
    <t>Other expenditure</t>
  </si>
  <si>
    <t>Enter the number of adults and the number of children in the household - this will change the ONS figures that appear to the right of the Basic Essential Expenditure and Basic Quality of Living Costs .</t>
  </si>
  <si>
    <t>ONS Household Statistics</t>
  </si>
  <si>
    <t xml:space="preserve">The ONS (Office of National Statistics) data appears to the right of the Basic Essential Expenditure and Basic Quality of Living Costs and is based on the number of adults and the number of children in the household.  </t>
  </si>
  <si>
    <t>If the assessment is for a further advance, existing mortgage commitments can be shown by completing the Sub account rows.</t>
  </si>
  <si>
    <t>Enter the new loan details on the appropriate rows, i.e. Repayment or Interest-only.  For Part and Part, use both rows.</t>
  </si>
  <si>
    <t>Input the monthly cost of any repayment strategy that the borrower(s) contributes towards e.g. endowment, pension plan etc.…</t>
  </si>
  <si>
    <t>Essential travel motoring costs (Inc. work or school)</t>
  </si>
  <si>
    <t>Essential travel public transport costs (Inc. work or school)</t>
  </si>
  <si>
    <t>Input any other essential expenditure not already captured such as dental or opticians costs, prescriptions, veterinary fees, etc.</t>
  </si>
  <si>
    <t>The ONS data can be used as a benchmark when completing the Affordability assessment.  If you intend to use ONS data rather than declared expenditure you must inform the customer.</t>
  </si>
  <si>
    <t xml:space="preserve">This boxes shows the percentage variance between the annual total of the ONS data and the annual total of the Basic Essential Expenditure and the Basic Quality of Living Costs. </t>
  </si>
  <si>
    <t>Housekeeping (food &amp; washing)</t>
  </si>
  <si>
    <t>Input the borrower's average monthly expenditure on shopping.</t>
  </si>
  <si>
    <t>Buildings insurance</t>
  </si>
  <si>
    <t>Input the monthly cost of buildings (and contents) insurance.</t>
  </si>
  <si>
    <t>Communication (Mobile phone)</t>
  </si>
  <si>
    <t>Input the monthly costs in respect of mobile phones.</t>
  </si>
  <si>
    <t>Holidays, childcare, clothing, etc.</t>
  </si>
  <si>
    <r>
      <rPr>
        <b/>
        <u/>
        <sz val="10"/>
        <rFont val="Tahoma"/>
        <family val="2"/>
      </rPr>
      <t>Tax Code ending in 'K'</t>
    </r>
    <r>
      <rPr>
        <b/>
        <sz val="10"/>
        <rFont val="Tahoma"/>
        <family val="2"/>
      </rPr>
      <t xml:space="preserve"> </t>
    </r>
    <r>
      <rPr>
        <sz val="10"/>
        <rFont val="Tahoma"/>
        <family val="2"/>
      </rPr>
      <t xml:space="preserve">
K codes are negative codes so adjustments are added to pay rather than deducted from it. The K code can avoid a tax underpayment accumulating during the year. A regulatory limit prevents tax deductions exceeding 50% of gross pay. Weekly or monthly PAYE tax liabilities above the regulatory limit are carried forward.</t>
    </r>
  </si>
  <si>
    <t>Stress test on Capital Repayment basis</t>
  </si>
  <si>
    <t>Taken from ONS table A23 - UK, financial year ending 2018</t>
  </si>
  <si>
    <t>Taken from ONS table A35 - detailed average expenditure on transport costs in England - UK, financial year ending 2015 to financial year ending 2018</t>
  </si>
  <si>
    <t>Taken from ONS table A35 - detailed average expenditure on utilities in England - UK, financial year ending 2016 to financial year ending 2018</t>
  </si>
  <si>
    <t>Years until retired</t>
  </si>
  <si>
    <t>Years until 80</t>
  </si>
  <si>
    <t>Years to retirement age / Years to age 80</t>
  </si>
  <si>
    <t>(Max. 4.5 x)</t>
  </si>
  <si>
    <t>(Max. 3.5 x)</t>
  </si>
  <si>
    <t>If the income multiple exceeds the maximum, case authorised by (management - signed)</t>
  </si>
  <si>
    <t xml:space="preserve">Projected Income Multiple </t>
  </si>
  <si>
    <t>PASS / FAIL status</t>
  </si>
  <si>
    <t>Anticipated income at retirement  / age of 80</t>
  </si>
  <si>
    <t>Projected mortgage balance at retirement / age of 80</t>
  </si>
  <si>
    <t>Enter the years to retirement and, if applicable, the years to the age of 80 and also the projected annual income for both.</t>
  </si>
  <si>
    <t>If it is within the permitted multiple it will display in GREEN with the word PASS beneath.</t>
  </si>
  <si>
    <t xml:space="preserve">If the projected Income Multiple exceeds either 4.5 x or  3.5 x or both it will display the multiple in RED with the word FAIL beneath.  </t>
  </si>
  <si>
    <t>This calculator is to be used to calculate the projected mortgage balance outstanding when the borrower is due to reach either their anticipated retirement age, the age of 80 or both on their repayment method , e.g. Capital Repayment, Interest-only or Part and Part.</t>
  </si>
  <si>
    <t>Removed from Monthly Summary Based on Loan Repayment Method</t>
  </si>
  <si>
    <t>Repayment method</t>
  </si>
  <si>
    <t>Result</t>
  </si>
  <si>
    <t>ONS DATA</t>
  </si>
  <si>
    <t>Above state retirement age?</t>
  </si>
  <si>
    <t>Income Multiple Calculator</t>
  </si>
  <si>
    <t>Multiple selected</t>
  </si>
  <si>
    <t xml:space="preserve">5.5 times </t>
  </si>
  <si>
    <t>Max. Income Multipe</t>
  </si>
  <si>
    <t>PASS / DECLINE?</t>
  </si>
  <si>
    <t>Not sure if this formula can be used!!!</t>
  </si>
  <si>
    <t xml:space="preserve">Applicant 1 </t>
  </si>
  <si>
    <t>Loan amount</t>
  </si>
  <si>
    <t>Months</t>
  </si>
  <si>
    <t>KEY</t>
  </si>
  <si>
    <t>One or both retired</t>
  </si>
  <si>
    <t>Neither retired</t>
  </si>
  <si>
    <t>Cap Rep.</t>
  </si>
  <si>
    <t>*Interest-only</t>
  </si>
  <si>
    <t>Projected Affordability R/p type calculation</t>
  </si>
  <si>
    <t>Maximum Income Multiple:</t>
  </si>
  <si>
    <t>Please note: Interest-Only elements of the original loan due to be repaid before the end of the projected term are deducted from the projected balance.</t>
  </si>
  <si>
    <t>Income Multiple Calculations</t>
  </si>
  <si>
    <t>Self Build Mortgage application</t>
  </si>
  <si>
    <t>N/a</t>
  </si>
  <si>
    <t>KEY - Stress Test Calculation</t>
  </si>
  <si>
    <t>% Free Income tolerance  calculation</t>
  </si>
  <si>
    <t>Paid Income</t>
  </si>
  <si>
    <t>Fully retired</t>
  </si>
  <si>
    <t>Check!!!</t>
  </si>
  <si>
    <t>Check!!</t>
  </si>
  <si>
    <t>Seems OK</t>
  </si>
  <si>
    <t>Tolerance applied</t>
  </si>
  <si>
    <t>Calculation to retirement - 4.5 x</t>
  </si>
  <si>
    <t>Calculation to age 80 - 3.5 x</t>
  </si>
  <si>
    <t>1 adult, no children</t>
  </si>
  <si>
    <t>2 adults, no children</t>
  </si>
  <si>
    <t>2 adults, 3 or more children</t>
  </si>
  <si>
    <t>2 retired adults, no children</t>
  </si>
  <si>
    <t>1 adult, 2 or more children</t>
  </si>
  <si>
    <t>ONS Information Header only</t>
  </si>
  <si>
    <t>Cap. Rep. Quick Term / Overpayment Calculator</t>
  </si>
  <si>
    <t>*Percentage Free income assessed to 10% tolerance</t>
  </si>
  <si>
    <t>*Percentage Free income assessed to 20% tolerance</t>
  </si>
  <si>
    <t>LIR &gt; 80</t>
  </si>
  <si>
    <t>Standard</t>
  </si>
  <si>
    <t>LIR &lt; 80</t>
  </si>
  <si>
    <t>Lending in Retirement - applicant(s) over 80</t>
  </si>
  <si>
    <t>Lending in Retirement - applicant(s) under 80</t>
  </si>
  <si>
    <t>Higher Income Multiple</t>
  </si>
  <si>
    <t>Income multiple</t>
  </si>
  <si>
    <t>% Free Income</t>
  </si>
  <si>
    <t>Paid Inc.</t>
  </si>
  <si>
    <t>State retirement Indicator</t>
  </si>
  <si>
    <t>% Free Income Applied</t>
  </si>
  <si>
    <t>Paid Salary / Self-Employed Income Indicator</t>
  </si>
  <si>
    <t>Standard Residential incl. Second Homes</t>
  </si>
  <si>
    <t>Income Multiple:</t>
  </si>
  <si>
    <t>IMPORTANT - Please answer the question for each applicant</t>
  </si>
  <si>
    <t>No. retired</t>
  </si>
  <si>
    <t>No. adults</t>
  </si>
  <si>
    <t>IMPORTANT - Please ensure the number of applicants agrees with the Income tab and that retirement statuses have been changed.</t>
  </si>
  <si>
    <t>Adults Household size</t>
  </si>
  <si>
    <t>1st Applicant</t>
  </si>
  <si>
    <t>2nd Applicant</t>
  </si>
  <si>
    <t>Income tab total</t>
  </si>
  <si>
    <t>Adult occupant check against Income tab</t>
  </si>
  <si>
    <t>Loan type</t>
  </si>
  <si>
    <t>Where you have indicated that either applicant is above state retirement age on the Income tab the ONS data will show as retired unless there are children in which case the number of adults and children is shown.</t>
  </si>
  <si>
    <t>Household size warning</t>
  </si>
  <si>
    <t>A reminder is shown that the number of adults must agree with that shown on the Income tab.  If the number of adults does not agree this will be shown in red.</t>
  </si>
  <si>
    <t>0 - 20% free income = AMBER / REFER</t>
  </si>
  <si>
    <t>Higher Income Multiple - 5.5 x Gross Income, less committed expenditure.</t>
  </si>
  <si>
    <t>IMPORTANT - If the Interest-only element has a different term to the repayment element of the loan this can be entered in years, otherwise enter the same term as the repayment part of the loan.</t>
  </si>
  <si>
    <t>IMPORTANT - if there is an Interest-only part to the loan if the term for this finishes before either retirement or the age of 80 this will be deducted from the balance, otherwise it will remain.</t>
  </si>
  <si>
    <t>Always answer this question as this drives whether National Insurance is deducted or not and also the percentage free income tolerance test applied.</t>
  </si>
  <si>
    <t>This is a standalone calculator and can be used to determine how quickly the loan can be repaid based on the monthly amount the applicant(s) can afford.  Whatever is entered in this calculator does not affect any other figures in the calculator.</t>
  </si>
  <si>
    <t>Is either Applicant above state retirement age?</t>
  </si>
  <si>
    <t>Applicant(s) 80 or over</t>
  </si>
  <si>
    <r>
      <rPr>
        <b/>
        <sz val="11"/>
        <rFont val="Calibri"/>
        <family val="2"/>
      </rPr>
      <t xml:space="preserve">IMPORTANT </t>
    </r>
    <r>
      <rPr>
        <sz val="11"/>
        <rFont val="Calibri"/>
        <family val="2"/>
      </rPr>
      <t>- for households where one or both applicants are above the state retirement age and under 80 a tolerance of 20% Free Income is used unless you have entered any salary, dividend or self-employed income in which case the tolerance applied will be 10% free Income.</t>
    </r>
  </si>
  <si>
    <r>
      <rPr>
        <b/>
        <sz val="11"/>
        <rFont val="Calibri"/>
        <family val="2"/>
      </rPr>
      <t>IMPORTANT</t>
    </r>
    <r>
      <rPr>
        <sz val="11"/>
        <rFont val="Calibri"/>
        <family val="2"/>
      </rPr>
      <t xml:space="preserve"> - where the LIR product is selected where applicants are 80 or over a 20% Free Income will be applied even if either applicant is still working.</t>
    </r>
  </si>
  <si>
    <t>Annual Salary / Self-employed Income</t>
  </si>
  <si>
    <t>SALARY AND DIVIDEND TAX CALCULATOR</t>
  </si>
  <si>
    <t>Salary</t>
  </si>
  <si>
    <t>Dividends</t>
  </si>
  <si>
    <t>Dividend</t>
  </si>
  <si>
    <t>Basic rate limit</t>
  </si>
  <si>
    <t>Additional rate</t>
  </si>
  <si>
    <t>Allowance reduction threshold</t>
  </si>
  <si>
    <t>Allowance</t>
  </si>
  <si>
    <t>APPLICANT ONE</t>
  </si>
  <si>
    <t>APPLICANT TWO</t>
  </si>
  <si>
    <t>Salary Tax</t>
  </si>
  <si>
    <t>Dividend Tax</t>
  </si>
  <si>
    <r>
      <rPr>
        <b/>
        <u/>
        <sz val="10"/>
        <rFont val="Tahoma"/>
        <family val="2"/>
      </rPr>
      <t>Personal Allowance - income over £100,000</t>
    </r>
    <r>
      <rPr>
        <sz val="10"/>
        <rFont val="Tahoma"/>
        <family val="2"/>
      </rPr>
      <t xml:space="preserve">
Your Personal Allowance goes down by £1 for every £2 that your adjusted net income is above £100,000. This means your allowance is zero if your income is £125,000 or above.</t>
    </r>
  </si>
  <si>
    <t>Annual Net Income</t>
  </si>
  <si>
    <t>Dividend Income</t>
  </si>
  <si>
    <t>Total Annual Income incl. dividends</t>
  </si>
  <si>
    <t>Gross salary</t>
  </si>
  <si>
    <t>App 1</t>
  </si>
  <si>
    <t>App 2</t>
  </si>
  <si>
    <t>Less tax</t>
  </si>
  <si>
    <t>Net salary</t>
  </si>
  <si>
    <t>Total Income</t>
  </si>
  <si>
    <t>Net dividends</t>
  </si>
  <si>
    <t>Tax / N.I.</t>
  </si>
  <si>
    <t>2020 / 2021 Salary &amp; Dividend Test Summary</t>
  </si>
  <si>
    <t>Select the loan type from the dropdown box</t>
  </si>
  <si>
    <t>BTL Rental Income (3 or more properties)</t>
  </si>
  <si>
    <t>BTL Rental Income (2 or less properties)</t>
  </si>
  <si>
    <t>*One or both applicants are above the state retirement age - see Income tab</t>
  </si>
  <si>
    <t>*Below the state retirement age - see Income tab</t>
  </si>
  <si>
    <t>rerun version owing to ONS errors</t>
  </si>
  <si>
    <t>Not used</t>
  </si>
  <si>
    <t>Average retention rate:</t>
  </si>
  <si>
    <t>Bal at reversion</t>
  </si>
  <si>
    <t>Reversion CMS</t>
  </si>
  <si>
    <t>SVR rate</t>
  </si>
  <si>
    <t>Cap R/p CMS</t>
  </si>
  <si>
    <t>(Rounded)</t>
  </si>
  <si>
    <t>Term Calculator</t>
  </si>
  <si>
    <t>Product rate</t>
  </si>
  <si>
    <t>Loan payment</t>
  </si>
  <si>
    <t>Capital Repayment</t>
  </si>
  <si>
    <t>Loan repayment method</t>
  </si>
  <si>
    <t>Projected affordability</t>
  </si>
  <si>
    <t>At retirement</t>
  </si>
  <si>
    <t>At age 80</t>
  </si>
  <si>
    <t>TOTAL</t>
  </si>
  <si>
    <t>SVR /Term Discount Calc.</t>
  </si>
  <si>
    <t>Years</t>
  </si>
  <si>
    <t>Sub 1</t>
  </si>
  <si>
    <t>Sub 2</t>
  </si>
  <si>
    <t>Sub 3</t>
  </si>
  <si>
    <t>Sub 4</t>
  </si>
  <si>
    <t>Sub 5</t>
  </si>
  <si>
    <t>Sub 6</t>
  </si>
  <si>
    <t>Individual sub account future balance look-up</t>
  </si>
  <si>
    <t>Bal. at retirement</t>
  </si>
  <si>
    <t>Bal. at age 80</t>
  </si>
  <si>
    <t>New loan I.O.</t>
  </si>
  <si>
    <t>Old calculations - not used in this version</t>
  </si>
  <si>
    <t>Projected balance at retirement / age 80</t>
  </si>
  <si>
    <t>Use ONS figures?</t>
  </si>
  <si>
    <t>Typical monthly shopping costs</t>
  </si>
  <si>
    <t>Utilities including Gas, Electricity &amp; Water</t>
  </si>
  <si>
    <t>At Retirement</t>
  </si>
  <si>
    <t>At Age 80</t>
  </si>
  <si>
    <t>Projected Future Affordability Calculator - Lending into Retirement</t>
  </si>
  <si>
    <t>I.O. element</t>
  </si>
  <si>
    <t>Leisure &amp; Lifestyle costs</t>
  </si>
  <si>
    <t>Product CMS</t>
  </si>
  <si>
    <t>Actual travel costs</t>
  </si>
  <si>
    <t>Personal transport</t>
  </si>
  <si>
    <t>ONS travel costs if selected</t>
  </si>
  <si>
    <t>Travel Overide calculations</t>
  </si>
  <si>
    <t>ONS Overide calculations</t>
  </si>
  <si>
    <t>Assumes CMS remains the same for term</t>
  </si>
  <si>
    <t>Ok</t>
  </si>
  <si>
    <t>OK</t>
  </si>
  <si>
    <t xml:space="preserve"> &lt;&lt; must be completed for each new assesment</t>
  </si>
  <si>
    <t>Current SVR</t>
  </si>
  <si>
    <t>Reversionary rate</t>
  </si>
  <si>
    <t>BROKER NAME</t>
  </si>
  <si>
    <t>Primary Income</t>
  </si>
  <si>
    <t>Guaranteed rent allowance / town allowance</t>
  </si>
  <si>
    <t>Second job (same industry)</t>
  </si>
  <si>
    <t>Secondary Income</t>
  </si>
  <si>
    <t>Regular bonus / commission</t>
  </si>
  <si>
    <t>Second job (different industry)</t>
  </si>
  <si>
    <t>Pension / Investment Income</t>
  </si>
  <si>
    <t>Broker Name</t>
  </si>
  <si>
    <t>Other Heating, e.g. coal, calor gas, etc.</t>
  </si>
  <si>
    <t>Childcare (nursery/school/university fees)</t>
  </si>
  <si>
    <t>Clothing (monthly average for year)</t>
  </si>
  <si>
    <t>Goods &amp; repairs, e.g. furniture, boiler cover, etc.</t>
  </si>
  <si>
    <t>Other expenditure, e.g. pets, dentistry, opticians, etc.</t>
  </si>
  <si>
    <t>Other expenditure not already mentioned</t>
  </si>
  <si>
    <t>IMPORTANT - For Part &amp; Part loans complete both rows.</t>
  </si>
  <si>
    <t>Capital Repayment term calculator
Term Calculator</t>
  </si>
  <si>
    <t>Interest-only eliement</t>
  </si>
  <si>
    <t>Future Affordability - Interest-only adjustment calculations</t>
  </si>
  <si>
    <t>Interest-only element</t>
  </si>
  <si>
    <t>Holidays (monthly average for year)</t>
  </si>
  <si>
    <t>Recreation (leisure &amp; lifestyle costs)</t>
  </si>
  <si>
    <t>ONS DATA USED</t>
  </si>
  <si>
    <t>Motoring costs</t>
  </si>
  <si>
    <t>Travel Costs</t>
  </si>
  <si>
    <t>Please note: Interest-Only elements of the loan due to be repaid before the projected retirement age and/or the age of 80 are deducted from the projected future balance.</t>
  </si>
  <si>
    <t>Mobile phone &amp; broadband contracts</t>
  </si>
  <si>
    <t>&lt;&lt;PLEASE CHOOSE THE LOAN TYPE FROM THE DROPDOWN</t>
  </si>
  <si>
    <t>&lt;&lt;ENTER TAX CODE NUMBERS IN CELLS D14 and G14 IF KNOWN &amp; TAX CODE LETTER IN CELLS E14 AND H14 IF KNOWN - OTHERWISE LEAVE BLANK</t>
  </si>
  <si>
    <t>Personal allowance</t>
  </si>
  <si>
    <t>Tax free dividends</t>
  </si>
  <si>
    <t>Higher rate</t>
  </si>
  <si>
    <t>Personal allowance reduction</t>
  </si>
  <si>
    <t>Applicable Personal Allowance</t>
  </si>
  <si>
    <t>Allowance is zero from</t>
  </si>
  <si>
    <t>Salary tax calculation</t>
  </si>
  <si>
    <t>Basic rate</t>
  </si>
  <si>
    <t>Dividend tax calculation</t>
  </si>
  <si>
    <t>Dividend allowance</t>
  </si>
  <si>
    <t>App. 1</t>
  </si>
  <si>
    <t>App. 2</t>
  </si>
  <si>
    <t>Loan Term in Years</t>
  </si>
  <si>
    <t>Plus Months</t>
  </si>
  <si>
    <t>Repayment type</t>
  </si>
  <si>
    <t>Stressed CMS</t>
  </si>
  <si>
    <t>STRESSED PAYMENT(S)</t>
  </si>
  <si>
    <t>SVR for statement</t>
  </si>
  <si>
    <t>CURRENT SVR</t>
  </si>
  <si>
    <t>Benefits (evidence required)</t>
  </si>
  <si>
    <t>Child Benefit</t>
  </si>
  <si>
    <t>Working Tax Credit (WTC)</t>
  </si>
  <si>
    <t>Maintenance (if by Court Order) – 2 years minimum</t>
  </si>
  <si>
    <t>Maintenance (if NOT by Court Order) – 2 years minimum</t>
  </si>
  <si>
    <t>Other State Benefit</t>
  </si>
  <si>
    <t>Benefit</t>
  </si>
  <si>
    <t>% Assessable</t>
  </si>
  <si>
    <t>Universal Credit (UC)</t>
  </si>
  <si>
    <t>Constant Attendance Allowance (CAA)</t>
  </si>
  <si>
    <t>Job Seekers Allowance (JSA)</t>
  </si>
  <si>
    <t>Disability Living Allowance (DLA)</t>
  </si>
  <si>
    <t>Child Tax Credit (CTC)</t>
  </si>
  <si>
    <t>Pension Credit (PC)</t>
  </si>
  <si>
    <t>Personal independence Payment (PIP)</t>
  </si>
  <si>
    <t>Adult Disability Payment (ADP)</t>
  </si>
  <si>
    <t>Employment &amp; Support Allowance (ESA)</t>
  </si>
  <si>
    <t>Carers Allowance (CA)</t>
  </si>
  <si>
    <t>Attendance Allowance (AA)</t>
  </si>
  <si>
    <t>Child Disability (CD)</t>
  </si>
  <si>
    <t>The calculator applies a stress rate of the higher of 1% above the average retention rate or 1% above product rate.  If the product is fixed for 5 years or more no stress rate is applied and the product rate is used instead.</t>
  </si>
  <si>
    <t>N.I. rate changed 06 April 2024</t>
  </si>
  <si>
    <t>SVR increased from 7.49% to 7.94% - 15th March 2024</t>
  </si>
  <si>
    <t>TAX YEAR 2024/25</t>
  </si>
  <si>
    <t>Tax Yr. 2024 / 25</t>
  </si>
  <si>
    <t>Tax Year 2024/25</t>
  </si>
  <si>
    <t>New Calculations from 06/04/2024</t>
  </si>
  <si>
    <t>TAX YEAR 2024/2025</t>
  </si>
  <si>
    <t>Broker Resi. / Self-build calculator v.56 (FINAL) 16th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</si>
</sst>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Red]\-&quot;£&quot;#,##0.00"/>
    <numFmt numFmtId="44" formatCode="_-&quot;£&quot;* #,##0.00_-;\-&quot;£&quot;* #,##0.00_-;_-&quot;£&quot;* &quot;-&quot;??_-;_-@_-"/>
    <numFmt numFmtId="43" formatCode="_-* #,##0.00_-;\-* #,##0.00_-;_-* &quot;-&quot;??_-;_-@_-"/>
    <numFmt numFmtId="164" formatCode="_-&quot;£&quot;* #,##0_-;\-&quot;£&quot;* #,##0_-;_-&quot;£&quot;* &quot;-&quot;??_-;_-@_-"/>
    <numFmt numFmtId="165" formatCode="0.0000%"/>
    <numFmt numFmtId="166" formatCode="0.000000"/>
    <numFmt numFmtId="167" formatCode="General_)"/>
    <numFmt numFmtId="168" formatCode="#,##0_ ;\-#,##0\ "/>
    <numFmt numFmtId="169" formatCode="_-* #,##0_-;\-* #,##0_-;_-* &quot;-&quot;??_-;_-@_-"/>
    <numFmt numFmtId="170" formatCode="_-[$£-809]* #,##0.00_-;\-[$£-809]* #,##0.00_-;_-[$£-809]* &quot;-&quot;??_-;_-@_-"/>
    <numFmt numFmtId="171" formatCode="0.00000"/>
  </numFmts>
  <fonts count="52">
    <font>
      <sz val="10"/>
      <name val="Tahoma"/>
    </font>
    <font>
      <sz val="10"/>
      <name val="Tahoma"/>
      <family val="2"/>
    </font>
    <font>
      <b/>
      <sz val="10"/>
      <name val="Tahoma"/>
      <family val="2"/>
    </font>
    <font>
      <sz val="8"/>
      <name val="Tahoma"/>
      <family val="2"/>
    </font>
    <font>
      <sz val="10"/>
      <name val="Tahoma"/>
      <family val="2"/>
    </font>
    <font>
      <b/>
      <u/>
      <sz val="10"/>
      <name val="Tahoma"/>
      <family val="2"/>
    </font>
    <font>
      <sz val="10"/>
      <name val="Arial (W1)"/>
    </font>
    <font>
      <sz val="9"/>
      <color indexed="81"/>
      <name val="Tahoma"/>
      <family val="2"/>
    </font>
    <font>
      <b/>
      <sz val="10"/>
      <color indexed="10"/>
      <name val="Tahoma"/>
      <family val="2"/>
    </font>
    <font>
      <b/>
      <sz val="10"/>
      <name val="Arial"/>
      <family val="2"/>
    </font>
    <font>
      <sz val="10"/>
      <name val="Arial"/>
      <family val="2"/>
    </font>
    <font>
      <sz val="10"/>
      <name val="Tahoma"/>
      <family val="2"/>
    </font>
    <font>
      <b/>
      <i/>
      <sz val="10"/>
      <name val="Tahoma"/>
      <family val="2"/>
    </font>
    <font>
      <sz val="10"/>
      <name val="Courier"/>
      <family val="3"/>
    </font>
    <font>
      <sz val="10"/>
      <name val="MS Sans Serif"/>
      <family val="2"/>
    </font>
    <font>
      <sz val="10"/>
      <name val="Tahoma"/>
      <family val="2"/>
    </font>
    <font>
      <b/>
      <sz val="9"/>
      <color indexed="81"/>
      <name val="Tahoma"/>
      <family val="2"/>
    </font>
    <font>
      <b/>
      <u/>
      <sz val="9"/>
      <color indexed="81"/>
      <name val="Tahoma"/>
      <family val="2"/>
    </font>
    <font>
      <sz val="10"/>
      <name val="Tahoma"/>
      <family val="2"/>
    </font>
    <font>
      <u val="singleAccounting"/>
      <sz val="10"/>
      <name val="Tahoma"/>
      <family val="2"/>
    </font>
    <font>
      <u/>
      <sz val="10"/>
      <name val="Tahoma"/>
      <family val="2"/>
    </font>
    <font>
      <sz val="10"/>
      <name val="Tahoma"/>
      <family val="2"/>
    </font>
    <font>
      <sz val="10"/>
      <name val="Tahoma"/>
      <family val="2"/>
    </font>
    <font>
      <sz val="10"/>
      <name val="Tahoma"/>
      <family val="2"/>
    </font>
    <font>
      <b/>
      <sz val="11"/>
      <name val="Calibri"/>
      <family val="2"/>
    </font>
    <font>
      <sz val="11"/>
      <name val="Calibri"/>
      <family val="2"/>
    </font>
    <font>
      <b/>
      <sz val="11"/>
      <name val="Calibri"/>
      <family val="2"/>
    </font>
    <font>
      <sz val="11"/>
      <name val="Tahoma"/>
      <family val="2"/>
    </font>
    <font>
      <b/>
      <u/>
      <sz val="11"/>
      <name val="Calibri"/>
      <family val="2"/>
    </font>
    <font>
      <b/>
      <u val="singleAccounting"/>
      <sz val="10"/>
      <name val="Tahoma"/>
      <family val="2"/>
    </font>
    <font>
      <b/>
      <u/>
      <sz val="10"/>
      <name val="Arial"/>
      <family val="2"/>
    </font>
    <font>
      <sz val="10"/>
      <name val="Tahoma"/>
      <family val="2"/>
    </font>
    <font>
      <sz val="10"/>
      <name val="Tahoma"/>
      <family val="2"/>
    </font>
    <font>
      <b/>
      <sz val="12"/>
      <name val="Tahoma"/>
      <family val="2"/>
    </font>
    <font>
      <b/>
      <sz val="11"/>
      <name val="Tahoma"/>
      <family val="2"/>
    </font>
    <font>
      <sz val="8"/>
      <name val="Tahoma"/>
      <family val="2"/>
    </font>
    <font>
      <sz val="10"/>
      <name val="Tahoma"/>
      <family val="2"/>
    </font>
    <font>
      <sz val="10"/>
      <name val="Tahoma"/>
      <family val="2"/>
    </font>
    <font>
      <sz val="11"/>
      <color theme="1"/>
      <name val="Calibri"/>
      <family val="2"/>
      <scheme val="minor"/>
    </font>
    <font>
      <b/>
      <sz val="11"/>
      <color theme="1"/>
      <name val="Calibri"/>
      <family val="2"/>
      <scheme val="minor"/>
    </font>
    <font>
      <sz val="10"/>
      <color rgb="FFFF0000"/>
      <name val="Tahoma"/>
      <family val="2"/>
    </font>
    <font>
      <sz val="10"/>
      <color theme="0"/>
      <name val="Tahoma"/>
      <family val="2"/>
    </font>
    <font>
      <b/>
      <sz val="14"/>
      <color theme="4"/>
      <name val="Calibri"/>
      <family val="2"/>
      <scheme val="minor"/>
    </font>
    <font>
      <b/>
      <sz val="11"/>
      <name val="Calibri"/>
      <family val="2"/>
      <scheme val="minor"/>
    </font>
    <font>
      <sz val="11"/>
      <name val="Calibri"/>
      <family val="2"/>
      <scheme val="minor"/>
    </font>
    <font>
      <sz val="10"/>
      <name val="Calibri"/>
      <family val="2"/>
      <scheme val="minor"/>
    </font>
    <font>
      <b/>
      <u/>
      <sz val="11"/>
      <name val="Calibri"/>
      <family val="2"/>
      <scheme val="minor"/>
    </font>
    <font>
      <sz val="10"/>
      <color rgb="FFFF0000"/>
      <name val="Arial"/>
      <family val="2"/>
    </font>
    <font>
      <sz val="10"/>
      <color rgb="FF92D050"/>
      <name val="Tahoma"/>
      <family val="2"/>
    </font>
    <font>
      <b/>
      <sz val="10"/>
      <color rgb="FF7030A0"/>
      <name val="Tahoma"/>
      <family val="2"/>
    </font>
    <font>
      <b/>
      <sz val="10"/>
      <color rgb="FFFF0000"/>
      <name val="Tahoma"/>
      <family val="2"/>
    </font>
    <font>
      <b/>
      <sz val="8"/>
      <name val="Tahoma"/>
      <family val="2"/>
    </font>
  </fonts>
  <fills count="19">
    <fill>
      <patternFill patternType="none"/>
    </fill>
    <fill>
      <patternFill patternType="gray125"/>
    </fill>
    <fill>
      <patternFill patternType="solid">
        <fgColor indexed="43"/>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FFFF99"/>
        <bgColor indexed="64"/>
      </patternFill>
    </fill>
    <fill>
      <patternFill patternType="solid">
        <fgColor rgb="FF92D050"/>
        <bgColor indexed="64"/>
      </patternFill>
    </fill>
    <fill>
      <patternFill patternType="solid">
        <fgColor rgb="FF00B0F0"/>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E7EEEF"/>
        <bgColor indexed="64"/>
      </patternFill>
    </fill>
    <fill>
      <patternFill patternType="solid">
        <fgColor rgb="FFEEE8EE"/>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99D24E"/>
        <bgColor indexed="64"/>
      </patternFill>
    </fill>
    <fill>
      <patternFill patternType="solid">
        <fgColor rgb="FFCCFFCC"/>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s>
  <cellStyleXfs count="11">
    <xf numFmtId="0" fontId="0" fillId="0" borderId="0"/>
    <xf numFmtId="43" fontId="1" fillId="0" borderId="0" applyFont="0" applyFill="0" applyBorder="0" applyAlignment="0" applyProtection="0"/>
    <xf numFmtId="40" fontId="1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10" fillId="0" borderId="0"/>
    <xf numFmtId="167" fontId="13" fillId="0" borderId="0"/>
    <xf numFmtId="0" fontId="38" fillId="0" borderId="0"/>
    <xf numFmtId="0" fontId="4" fillId="0" borderId="0"/>
    <xf numFmtId="0" fontId="38" fillId="0" borderId="0"/>
    <xf numFmtId="9" fontId="1" fillId="0" borderId="0" applyFont="0" applyFill="0" applyBorder="0" applyAlignment="0" applyProtection="0"/>
  </cellStyleXfs>
  <cellXfs count="610">
    <xf numFmtId="0" fontId="0" fillId="0" borderId="0" xfId="0"/>
    <xf numFmtId="44" fontId="0" fillId="2" borderId="1" xfId="3" applyFont="1" applyFill="1" applyBorder="1" applyProtection="1">
      <protection locked="0"/>
    </xf>
    <xf numFmtId="10" fontId="0" fillId="2" borderId="1" xfId="10" applyNumberFormat="1" applyFont="1" applyFill="1" applyBorder="1" applyAlignment="1" applyProtection="1">
      <alignment horizontal="center"/>
      <protection locked="0"/>
    </xf>
    <xf numFmtId="0" fontId="2" fillId="0" borderId="0" xfId="0" applyFont="1"/>
    <xf numFmtId="0" fontId="4" fillId="0" borderId="0" xfId="0" applyFont="1"/>
    <xf numFmtId="168" fontId="0" fillId="2" borderId="1" xfId="3" applyNumberFormat="1" applyFont="1" applyFill="1" applyBorder="1" applyAlignment="1" applyProtection="1">
      <alignment horizontal="center"/>
      <protection locked="0"/>
    </xf>
    <xf numFmtId="44" fontId="0" fillId="2" borderId="1" xfId="3" applyFont="1" applyFill="1" applyBorder="1" applyAlignment="1" applyProtection="1">
      <alignment horizontal="center" vertical="center"/>
      <protection locked="0"/>
    </xf>
    <xf numFmtId="170" fontId="0" fillId="5" borderId="1" xfId="0" applyNumberFormat="1" applyFill="1" applyBorder="1" applyProtection="1">
      <protection locked="0"/>
    </xf>
    <xf numFmtId="0" fontId="40" fillId="0" borderId="0" xfId="0" applyFont="1"/>
    <xf numFmtId="0" fontId="4" fillId="5" borderId="1" xfId="0" applyFont="1" applyFill="1" applyBorder="1" applyProtection="1">
      <protection locked="0"/>
    </xf>
    <xf numFmtId="44" fontId="4" fillId="5" borderId="1" xfId="3" applyFont="1" applyFill="1" applyBorder="1" applyProtection="1">
      <protection locked="0"/>
    </xf>
    <xf numFmtId="14" fontId="4" fillId="2" borderId="1" xfId="3" applyNumberFormat="1" applyFont="1" applyFill="1" applyBorder="1" applyAlignment="1" applyProtection="1">
      <alignment horizontal="center"/>
      <protection locked="0"/>
    </xf>
    <xf numFmtId="0" fontId="42" fillId="0" borderId="0" xfId="0" applyFont="1"/>
    <xf numFmtId="0" fontId="43" fillId="0" borderId="0" xfId="0" applyFont="1"/>
    <xf numFmtId="0" fontId="25" fillId="0" borderId="0" xfId="0" applyFont="1"/>
    <xf numFmtId="0" fontId="26" fillId="0" borderId="0" xfId="0" applyFont="1"/>
    <xf numFmtId="0" fontId="44" fillId="0" borderId="0" xfId="0" applyFont="1"/>
    <xf numFmtId="0" fontId="45" fillId="0" borderId="0" xfId="0" applyFont="1"/>
    <xf numFmtId="0" fontId="27" fillId="0" borderId="0" xfId="0" applyFont="1"/>
    <xf numFmtId="0" fontId="46" fillId="0" borderId="0" xfId="0" applyFont="1"/>
    <xf numFmtId="0" fontId="5" fillId="0" borderId="0" xfId="0" applyFont="1"/>
    <xf numFmtId="44" fontId="4" fillId="5" borderId="1" xfId="0" applyNumberFormat="1" applyFont="1" applyFill="1" applyBorder="1" applyProtection="1">
      <protection locked="0"/>
    </xf>
    <xf numFmtId="164" fontId="4" fillId="5" borderId="1" xfId="3" applyNumberFormat="1" applyFont="1" applyFill="1" applyBorder="1" applyAlignment="1" applyProtection="1">
      <alignment horizontal="center"/>
      <protection locked="0"/>
    </xf>
    <xf numFmtId="44" fontId="4" fillId="2" borderId="1" xfId="3" applyFont="1" applyFill="1" applyBorder="1" applyAlignment="1" applyProtection="1">
      <alignment horizontal="center" vertical="center"/>
      <protection locked="0"/>
    </xf>
    <xf numFmtId="0" fontId="2" fillId="0" borderId="0" xfId="0" applyFont="1" applyProtection="1">
      <protection hidden="1"/>
    </xf>
    <xf numFmtId="0" fontId="20" fillId="10" borderId="5" xfId="0" applyFont="1" applyFill="1" applyBorder="1" applyProtection="1">
      <protection hidden="1"/>
    </xf>
    <xf numFmtId="0" fontId="0" fillId="10" borderId="8" xfId="0" applyFill="1" applyBorder="1" applyProtection="1">
      <protection hidden="1"/>
    </xf>
    <xf numFmtId="0" fontId="0" fillId="10" borderId="9" xfId="0" applyFill="1" applyBorder="1" applyProtection="1">
      <protection hidden="1"/>
    </xf>
    <xf numFmtId="0" fontId="0" fillId="3" borderId="0" xfId="0" applyFill="1" applyProtection="1">
      <protection hidden="1"/>
    </xf>
    <xf numFmtId="0" fontId="1" fillId="10" borderId="8" xfId="0" applyFont="1" applyFill="1" applyBorder="1" applyProtection="1">
      <protection hidden="1"/>
    </xf>
    <xf numFmtId="0" fontId="1" fillId="10" borderId="9" xfId="0" applyFont="1" applyFill="1" applyBorder="1" applyProtection="1">
      <protection hidden="1"/>
    </xf>
    <xf numFmtId="44" fontId="0" fillId="2" borderId="1" xfId="3" applyFont="1" applyFill="1" applyBorder="1" applyProtection="1">
      <protection locked="0" hidden="1"/>
    </xf>
    <xf numFmtId="169" fontId="1" fillId="2" borderId="1" xfId="1" applyNumberFormat="1" applyFont="1" applyFill="1" applyBorder="1" applyAlignment="1" applyProtection="1">
      <alignment horizontal="left"/>
      <protection locked="0"/>
    </xf>
    <xf numFmtId="168" fontId="1" fillId="2" borderId="1" xfId="3" applyNumberFormat="1" applyFont="1" applyFill="1" applyBorder="1" applyAlignment="1" applyProtection="1">
      <alignment horizontal="center"/>
      <protection locked="0"/>
    </xf>
    <xf numFmtId="0" fontId="2" fillId="0" borderId="0" xfId="0" applyFont="1" applyAlignment="1" applyProtection="1">
      <alignment vertical="center" wrapText="1"/>
      <protection hidden="1"/>
    </xf>
    <xf numFmtId="0" fontId="1" fillId="0" borderId="0" xfId="0" applyFont="1" applyAlignment="1" applyProtection="1">
      <alignment vertical="center" wrapText="1"/>
      <protection hidden="1"/>
    </xf>
    <xf numFmtId="0" fontId="2" fillId="0" borderId="1" xfId="0" applyFont="1" applyBorder="1" applyAlignment="1" applyProtection="1">
      <alignment horizontal="center"/>
      <protection hidden="1"/>
    </xf>
    <xf numFmtId="14" fontId="1" fillId="2" borderId="1" xfId="3" applyNumberFormat="1" applyFont="1" applyFill="1" applyBorder="1" applyAlignment="1" applyProtection="1">
      <alignment horizontal="center"/>
      <protection locked="0"/>
    </xf>
    <xf numFmtId="0" fontId="5" fillId="0" borderId="0" xfId="0" applyFont="1" applyProtection="1">
      <protection hidden="1"/>
    </xf>
    <xf numFmtId="0" fontId="1" fillId="0" borderId="0" xfId="0" applyFont="1" applyProtection="1">
      <protection hidden="1"/>
    </xf>
    <xf numFmtId="0" fontId="2" fillId="15" borderId="1" xfId="0" applyFont="1" applyFill="1" applyBorder="1" applyAlignment="1" applyProtection="1">
      <alignment horizontal="center"/>
      <protection hidden="1"/>
    </xf>
    <xf numFmtId="10" fontId="2" fillId="15" borderId="1" xfId="0" applyNumberFormat="1" applyFont="1" applyFill="1" applyBorder="1" applyAlignment="1" applyProtection="1">
      <alignment horizontal="center"/>
      <protection hidden="1"/>
    </xf>
    <xf numFmtId="0" fontId="0" fillId="5" borderId="1" xfId="0" applyFill="1" applyBorder="1" applyAlignment="1" applyProtection="1">
      <alignment horizontal="center"/>
      <protection locked="0"/>
    </xf>
    <xf numFmtId="0" fontId="4" fillId="5" borderId="1" xfId="0" applyFont="1" applyFill="1" applyBorder="1" applyAlignment="1" applyProtection="1">
      <alignment horizontal="center"/>
      <protection locked="0"/>
    </xf>
    <xf numFmtId="0" fontId="4" fillId="0" borderId="0" xfId="0" applyFont="1" applyProtection="1">
      <protection hidden="1"/>
    </xf>
    <xf numFmtId="0" fontId="4" fillId="3" borderId="0" xfId="0" applyFont="1" applyFill="1" applyAlignment="1" applyProtection="1">
      <alignment horizontal="center"/>
      <protection hidden="1"/>
    </xf>
    <xf numFmtId="0" fontId="4" fillId="3" borderId="0" xfId="0" applyFont="1" applyFill="1" applyProtection="1">
      <protection hidden="1"/>
    </xf>
    <xf numFmtId="0" fontId="2" fillId="0" borderId="0" xfId="0" applyFont="1" applyAlignment="1" applyProtection="1">
      <alignment horizontal="left"/>
      <protection hidden="1"/>
    </xf>
    <xf numFmtId="0" fontId="2" fillId="0" borderId="1" xfId="0" applyFont="1" applyBorder="1" applyAlignment="1" applyProtection="1">
      <alignment horizontal="center" wrapText="1"/>
      <protection hidden="1"/>
    </xf>
    <xf numFmtId="0" fontId="4" fillId="3" borderId="0" xfId="0" applyFont="1" applyFill="1" applyAlignment="1" applyProtection="1">
      <alignment horizontal="left"/>
      <protection hidden="1"/>
    </xf>
    <xf numFmtId="0" fontId="4" fillId="8" borderId="5" xfId="0" applyFont="1" applyFill="1" applyBorder="1" applyAlignment="1" applyProtection="1">
      <alignment horizontal="left"/>
      <protection hidden="1"/>
    </xf>
    <xf numFmtId="0" fontId="4" fillId="8" borderId="6" xfId="0" applyFont="1" applyFill="1" applyBorder="1" applyProtection="1">
      <protection hidden="1"/>
    </xf>
    <xf numFmtId="0" fontId="4" fillId="8" borderId="6" xfId="0" applyFont="1" applyFill="1" applyBorder="1" applyAlignment="1" applyProtection="1">
      <alignment horizontal="center"/>
      <protection hidden="1"/>
    </xf>
    <xf numFmtId="0" fontId="4" fillId="8" borderId="18" xfId="0" applyFont="1" applyFill="1" applyBorder="1" applyProtection="1">
      <protection hidden="1"/>
    </xf>
    <xf numFmtId="0" fontId="4" fillId="8" borderId="8" xfId="0" applyFont="1" applyFill="1" applyBorder="1" applyProtection="1">
      <protection hidden="1"/>
    </xf>
    <xf numFmtId="0" fontId="0" fillId="8" borderId="0" xfId="0" applyFill="1" applyProtection="1">
      <protection hidden="1"/>
    </xf>
    <xf numFmtId="0" fontId="4" fillId="8" borderId="22" xfId="0" applyFont="1" applyFill="1" applyBorder="1" applyProtection="1">
      <protection hidden="1"/>
    </xf>
    <xf numFmtId="0" fontId="51" fillId="0" borderId="0" xfId="0" applyFont="1" applyProtection="1">
      <protection hidden="1"/>
    </xf>
    <xf numFmtId="0" fontId="4" fillId="0" borderId="0" xfId="0" applyFont="1" applyAlignment="1" applyProtection="1">
      <alignment horizontal="center"/>
      <protection hidden="1"/>
    </xf>
    <xf numFmtId="0" fontId="2" fillId="0" borderId="0" xfId="0" applyFont="1" applyAlignment="1" applyProtection="1">
      <alignment wrapText="1"/>
      <protection hidden="1"/>
    </xf>
    <xf numFmtId="0" fontId="4" fillId="8" borderId="1" xfId="0" applyFont="1" applyFill="1" applyBorder="1" applyAlignment="1" applyProtection="1">
      <alignment horizontal="left"/>
      <protection hidden="1"/>
    </xf>
    <xf numFmtId="0" fontId="4" fillId="8" borderId="1" xfId="0" applyFont="1" applyFill="1" applyBorder="1" applyAlignment="1" applyProtection="1">
      <alignment horizontal="center"/>
      <protection hidden="1"/>
    </xf>
    <xf numFmtId="0" fontId="4" fillId="8" borderId="1" xfId="0" applyFont="1" applyFill="1" applyBorder="1" applyAlignment="1" applyProtection="1">
      <alignment horizontal="center" vertical="center"/>
      <protection hidden="1"/>
    </xf>
    <xf numFmtId="0" fontId="4" fillId="8" borderId="0" xfId="0" applyFont="1" applyFill="1" applyProtection="1">
      <protection hidden="1"/>
    </xf>
    <xf numFmtId="0" fontId="2" fillId="6" borderId="0" xfId="0" applyFont="1" applyFill="1" applyProtection="1">
      <protection hidden="1"/>
    </xf>
    <xf numFmtId="0" fontId="4" fillId="6" borderId="0" xfId="0" applyFont="1" applyFill="1" applyProtection="1">
      <protection hidden="1"/>
    </xf>
    <xf numFmtId="9" fontId="4" fillId="8" borderId="1" xfId="0" applyNumberFormat="1" applyFont="1" applyFill="1" applyBorder="1" applyAlignment="1" applyProtection="1">
      <alignment horizontal="center" vertical="center"/>
      <protection hidden="1"/>
    </xf>
    <xf numFmtId="0" fontId="4" fillId="8" borderId="8" xfId="0" applyFont="1" applyFill="1" applyBorder="1" applyAlignment="1" applyProtection="1">
      <alignment horizontal="left"/>
      <protection hidden="1"/>
    </xf>
    <xf numFmtId="0" fontId="4" fillId="8" borderId="9" xfId="0" applyFont="1" applyFill="1" applyBorder="1" applyAlignment="1" applyProtection="1">
      <alignment horizontal="left"/>
      <protection hidden="1"/>
    </xf>
    <xf numFmtId="0" fontId="4" fillId="8" borderId="10" xfId="0" applyFont="1" applyFill="1" applyBorder="1" applyProtection="1">
      <protection hidden="1"/>
    </xf>
    <xf numFmtId="0" fontId="4" fillId="8" borderId="23" xfId="0" applyFont="1" applyFill="1" applyBorder="1" applyProtection="1">
      <protection hidden="1"/>
    </xf>
    <xf numFmtId="0" fontId="4" fillId="10" borderId="0" xfId="0" applyFont="1" applyFill="1" applyProtection="1">
      <protection hidden="1"/>
    </xf>
    <xf numFmtId="0" fontId="2" fillId="3" borderId="0" xfId="0" applyFont="1" applyFill="1" applyAlignment="1" applyProtection="1">
      <alignment horizontal="center"/>
      <protection hidden="1"/>
    </xf>
    <xf numFmtId="0" fontId="4" fillId="9" borderId="13" xfId="0" applyFont="1" applyFill="1" applyBorder="1" applyProtection="1">
      <protection hidden="1"/>
    </xf>
    <xf numFmtId="0" fontId="4" fillId="9" borderId="14" xfId="0" applyFont="1" applyFill="1" applyBorder="1" applyAlignment="1" applyProtection="1">
      <alignment horizontal="right"/>
      <protection hidden="1"/>
    </xf>
    <xf numFmtId="0" fontId="4" fillId="9" borderId="14" xfId="0" applyFont="1" applyFill="1" applyBorder="1" applyProtection="1">
      <protection hidden="1"/>
    </xf>
    <xf numFmtId="0" fontId="4" fillId="9" borderId="19" xfId="0" applyFont="1" applyFill="1" applyBorder="1" applyAlignment="1" applyProtection="1">
      <alignment horizontal="right"/>
      <protection hidden="1"/>
    </xf>
    <xf numFmtId="0" fontId="4" fillId="9" borderId="15" xfId="0" applyFont="1" applyFill="1" applyBorder="1" applyProtection="1">
      <protection hidden="1"/>
    </xf>
    <xf numFmtId="164" fontId="4" fillId="6" borderId="20" xfId="0" applyNumberFormat="1" applyFont="1" applyFill="1" applyBorder="1" applyProtection="1">
      <protection hidden="1"/>
    </xf>
    <xf numFmtId="44" fontId="4" fillId="3" borderId="0" xfId="0" applyNumberFormat="1" applyFont="1" applyFill="1" applyProtection="1">
      <protection hidden="1"/>
    </xf>
    <xf numFmtId="0" fontId="4" fillId="0" borderId="1" xfId="0" applyFont="1" applyBorder="1" applyAlignment="1" applyProtection="1">
      <alignment horizontal="center"/>
      <protection hidden="1"/>
    </xf>
    <xf numFmtId="164" fontId="4" fillId="6" borderId="0" xfId="3" applyNumberFormat="1" applyFont="1" applyFill="1" applyBorder="1" applyProtection="1">
      <protection hidden="1"/>
    </xf>
    <xf numFmtId="0" fontId="0" fillId="0" borderId="0" xfId="0" applyProtection="1">
      <protection hidden="1"/>
    </xf>
    <xf numFmtId="0" fontId="4" fillId="0" borderId="3" xfId="0" applyFont="1" applyBorder="1" applyProtection="1">
      <protection hidden="1"/>
    </xf>
    <xf numFmtId="0" fontId="4" fillId="0" borderId="4" xfId="0" applyFont="1" applyBorder="1" applyProtection="1">
      <protection hidden="1"/>
    </xf>
    <xf numFmtId="0" fontId="4" fillId="9" borderId="16" xfId="0" applyFont="1" applyFill="1" applyBorder="1" applyProtection="1">
      <protection hidden="1"/>
    </xf>
    <xf numFmtId="0" fontId="4" fillId="9" borderId="17" xfId="0" applyFont="1" applyFill="1" applyBorder="1" applyProtection="1">
      <protection hidden="1"/>
    </xf>
    <xf numFmtId="164" fontId="4" fillId="6" borderId="21" xfId="0" applyNumberFormat="1" applyFont="1" applyFill="1" applyBorder="1" applyProtection="1">
      <protection hidden="1"/>
    </xf>
    <xf numFmtId="164" fontId="0" fillId="3" borderId="0" xfId="0" applyNumberFormat="1" applyFill="1" applyProtection="1">
      <protection hidden="1"/>
    </xf>
    <xf numFmtId="43" fontId="0" fillId="0" borderId="0" xfId="0" applyNumberFormat="1" applyProtection="1">
      <protection hidden="1"/>
    </xf>
    <xf numFmtId="0" fontId="48" fillId="0" borderId="0" xfId="0" applyFont="1" applyProtection="1">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vertical="center" wrapText="1"/>
      <protection hidden="1"/>
    </xf>
    <xf numFmtId="0" fontId="5" fillId="3" borderId="0" xfId="0" applyFont="1" applyFill="1" applyProtection="1">
      <protection hidden="1"/>
    </xf>
    <xf numFmtId="0" fontId="2" fillId="3" borderId="0" xfId="0" applyFont="1" applyFill="1" applyProtection="1">
      <protection hidden="1"/>
    </xf>
    <xf numFmtId="9" fontId="4" fillId="0" borderId="0" xfId="0" applyNumberFormat="1" applyFont="1" applyAlignment="1" applyProtection="1">
      <alignment horizontal="center" vertical="center" wrapText="1"/>
      <protection hidden="1"/>
    </xf>
    <xf numFmtId="43" fontId="0" fillId="10" borderId="0" xfId="0" applyNumberFormat="1" applyFill="1" applyProtection="1">
      <protection hidden="1"/>
    </xf>
    <xf numFmtId="44" fontId="4" fillId="3" borderId="0" xfId="3" applyFont="1" applyFill="1" applyBorder="1" applyProtection="1">
      <protection hidden="1"/>
    </xf>
    <xf numFmtId="0" fontId="0" fillId="0" borderId="0" xfId="0" applyAlignment="1" applyProtection="1">
      <alignment horizontal="right"/>
      <protection hidden="1"/>
    </xf>
    <xf numFmtId="0" fontId="4" fillId="0" borderId="0" xfId="0" applyFont="1" applyAlignment="1" applyProtection="1">
      <alignment horizontal="right"/>
      <protection hidden="1"/>
    </xf>
    <xf numFmtId="0" fontId="0" fillId="10" borderId="0" xfId="0" applyFill="1" applyProtection="1">
      <protection hidden="1"/>
    </xf>
    <xf numFmtId="9" fontId="0" fillId="10" borderId="0" xfId="0" applyNumberFormat="1" applyFill="1" applyProtection="1">
      <protection hidden="1"/>
    </xf>
    <xf numFmtId="9" fontId="4" fillId="10" borderId="0" xfId="0" applyNumberFormat="1" applyFont="1" applyFill="1" applyProtection="1">
      <protection hidden="1"/>
    </xf>
    <xf numFmtId="10" fontId="0" fillId="10" borderId="0" xfId="0" applyNumberFormat="1" applyFill="1" applyProtection="1">
      <protection hidden="1"/>
    </xf>
    <xf numFmtId="10" fontId="4" fillId="10" borderId="0" xfId="0" applyNumberFormat="1" applyFont="1" applyFill="1" applyProtection="1">
      <protection hidden="1"/>
    </xf>
    <xf numFmtId="44" fontId="4" fillId="6" borderId="0" xfId="3" applyFont="1" applyFill="1" applyBorder="1" applyProtection="1">
      <protection hidden="1"/>
    </xf>
    <xf numFmtId="44" fontId="36" fillId="3" borderId="0" xfId="3" applyFont="1" applyFill="1" applyProtection="1">
      <protection hidden="1"/>
    </xf>
    <xf numFmtId="44" fontId="36" fillId="0" borderId="0" xfId="3" applyFont="1" applyFill="1" applyProtection="1">
      <protection hidden="1"/>
    </xf>
    <xf numFmtId="0" fontId="36" fillId="0" borderId="0" xfId="3" applyNumberFormat="1" applyFont="1" applyFill="1" applyProtection="1">
      <protection hidden="1"/>
    </xf>
    <xf numFmtId="0" fontId="0" fillId="3" borderId="0" xfId="0" applyFill="1" applyAlignment="1" applyProtection="1">
      <alignment horizontal="right"/>
      <protection hidden="1"/>
    </xf>
    <xf numFmtId="0" fontId="0" fillId="0" borderId="0" xfId="0" applyAlignment="1" applyProtection="1">
      <alignment horizontal="left"/>
      <protection hidden="1"/>
    </xf>
    <xf numFmtId="43" fontId="0" fillId="0" borderId="0" xfId="0" applyNumberFormat="1" applyAlignment="1" applyProtection="1">
      <alignment horizontal="right"/>
      <protection hidden="1"/>
    </xf>
    <xf numFmtId="44" fontId="4" fillId="3" borderId="0" xfId="3" applyFont="1" applyFill="1" applyProtection="1">
      <protection hidden="1"/>
    </xf>
    <xf numFmtId="43" fontId="36" fillId="0" borderId="0" xfId="3" applyNumberFormat="1" applyFont="1" applyFill="1" applyProtection="1">
      <protection hidden="1"/>
    </xf>
    <xf numFmtId="1" fontId="36" fillId="0" borderId="0" xfId="3" applyNumberFormat="1" applyFont="1" applyFill="1" applyProtection="1">
      <protection hidden="1"/>
    </xf>
    <xf numFmtId="1" fontId="4" fillId="0" borderId="0" xfId="0" applyNumberFormat="1" applyFont="1" applyProtection="1">
      <protection hidden="1"/>
    </xf>
    <xf numFmtId="1" fontId="0" fillId="0" borderId="0" xfId="0" applyNumberFormat="1" applyProtection="1">
      <protection hidden="1"/>
    </xf>
    <xf numFmtId="0" fontId="40" fillId="0" borderId="0" xfId="0" applyFont="1" applyProtection="1">
      <protection hidden="1"/>
    </xf>
    <xf numFmtId="0" fontId="40" fillId="3" borderId="0" xfId="0" applyFont="1" applyFill="1" applyProtection="1">
      <protection hidden="1"/>
    </xf>
    <xf numFmtId="44" fontId="40" fillId="3" borderId="0" xfId="3" applyFont="1" applyFill="1" applyProtection="1">
      <protection hidden="1"/>
    </xf>
    <xf numFmtId="169" fontId="0" fillId="0" borderId="0" xfId="0" applyNumberFormat="1" applyProtection="1">
      <protection hidden="1"/>
    </xf>
    <xf numFmtId="9" fontId="0" fillId="0" borderId="0" xfId="0" applyNumberFormat="1" applyProtection="1">
      <protection hidden="1"/>
    </xf>
    <xf numFmtId="9" fontId="4" fillId="0" borderId="0" xfId="0" applyNumberFormat="1" applyFont="1" applyAlignment="1" applyProtection="1">
      <alignment horizontal="right"/>
      <protection hidden="1"/>
    </xf>
    <xf numFmtId="43" fontId="4" fillId="0" borderId="0" xfId="0" applyNumberFormat="1" applyFont="1" applyProtection="1">
      <protection hidden="1"/>
    </xf>
    <xf numFmtId="169" fontId="4" fillId="0" borderId="0" xfId="0" applyNumberFormat="1" applyFont="1" applyProtection="1">
      <protection hidden="1"/>
    </xf>
    <xf numFmtId="9" fontId="4" fillId="0" borderId="0" xfId="0" applyNumberFormat="1" applyFont="1" applyProtection="1">
      <protection hidden="1"/>
    </xf>
    <xf numFmtId="43" fontId="0" fillId="6" borderId="28" xfId="0" applyNumberFormat="1" applyFill="1" applyBorder="1" applyProtection="1">
      <protection hidden="1"/>
    </xf>
    <xf numFmtId="43" fontId="4" fillId="6" borderId="28" xfId="0" applyNumberFormat="1" applyFont="1" applyFill="1" applyBorder="1" applyProtection="1">
      <protection hidden="1"/>
    </xf>
    <xf numFmtId="44" fontId="0" fillId="0" borderId="0" xfId="0" applyNumberFormat="1" applyProtection="1">
      <protection hidden="1"/>
    </xf>
    <xf numFmtId="44" fontId="4" fillId="0" borderId="0" xfId="0" applyNumberFormat="1" applyFont="1" applyProtection="1">
      <protection hidden="1"/>
    </xf>
    <xf numFmtId="9" fontId="4" fillId="0" borderId="0" xfId="3" applyNumberFormat="1" applyFont="1" applyProtection="1">
      <protection hidden="1"/>
    </xf>
    <xf numFmtId="10" fontId="4" fillId="0" borderId="0" xfId="0" applyNumberFormat="1" applyFont="1" applyProtection="1">
      <protection hidden="1"/>
    </xf>
    <xf numFmtId="10" fontId="4" fillId="0" borderId="0" xfId="3" applyNumberFormat="1" applyFont="1" applyProtection="1">
      <protection hidden="1"/>
    </xf>
    <xf numFmtId="44" fontId="0" fillId="3" borderId="0" xfId="0" applyNumberFormat="1" applyFill="1" applyProtection="1">
      <protection hidden="1"/>
    </xf>
    <xf numFmtId="44" fontId="2" fillId="3" borderId="0" xfId="3" applyFont="1" applyFill="1" applyProtection="1">
      <protection hidden="1"/>
    </xf>
    <xf numFmtId="0" fontId="4" fillId="9" borderId="0" xfId="0" applyFont="1" applyFill="1" applyProtection="1">
      <protection hidden="1"/>
    </xf>
    <xf numFmtId="44" fontId="4" fillId="9" borderId="0" xfId="3" applyFont="1" applyFill="1" applyProtection="1">
      <protection hidden="1"/>
    </xf>
    <xf numFmtId="164" fontId="4" fillId="0" borderId="0" xfId="3" applyNumberFormat="1" applyFont="1" applyProtection="1">
      <protection hidden="1"/>
    </xf>
    <xf numFmtId="0" fontId="40" fillId="9" borderId="0" xfId="0" applyFont="1" applyFill="1" applyProtection="1">
      <protection hidden="1"/>
    </xf>
    <xf numFmtId="44" fontId="4" fillId="9" borderId="0" xfId="0" applyNumberFormat="1" applyFont="1" applyFill="1" applyProtection="1">
      <protection hidden="1"/>
    </xf>
    <xf numFmtId="44" fontId="4" fillId="0" borderId="0" xfId="3" applyFont="1" applyProtection="1">
      <protection hidden="1"/>
    </xf>
    <xf numFmtId="44" fontId="29" fillId="3" borderId="0" xfId="3" applyFont="1" applyFill="1" applyBorder="1" applyAlignment="1" applyProtection="1">
      <protection hidden="1"/>
    </xf>
    <xf numFmtId="0" fontId="2" fillId="0" borderId="0" xfId="0" applyFont="1" applyAlignment="1" applyProtection="1">
      <alignment vertical="center"/>
      <protection hidden="1"/>
    </xf>
    <xf numFmtId="44" fontId="2" fillId="3" borderId="0" xfId="3" applyFont="1" applyFill="1" applyAlignment="1" applyProtection="1">
      <alignment horizontal="center"/>
      <protection hidden="1"/>
    </xf>
    <xf numFmtId="0" fontId="4" fillId="6" borderId="5" xfId="0" applyFont="1" applyFill="1" applyBorder="1" applyProtection="1">
      <protection hidden="1"/>
    </xf>
    <xf numFmtId="0" fontId="20" fillId="6" borderId="6" xfId="0" applyFont="1" applyFill="1" applyBorder="1" applyProtection="1">
      <protection hidden="1"/>
    </xf>
    <xf numFmtId="0" fontId="4" fillId="6" borderId="6" xfId="0" applyFont="1" applyFill="1" applyBorder="1" applyProtection="1">
      <protection hidden="1"/>
    </xf>
    <xf numFmtId="0" fontId="4" fillId="6" borderId="7" xfId="0" applyFont="1" applyFill="1" applyBorder="1" applyProtection="1">
      <protection hidden="1"/>
    </xf>
    <xf numFmtId="0" fontId="4" fillId="6" borderId="8" xfId="0" applyFont="1" applyFill="1" applyBorder="1" applyProtection="1">
      <protection hidden="1"/>
    </xf>
    <xf numFmtId="0" fontId="4" fillId="6" borderId="2" xfId="0" applyFont="1" applyFill="1" applyBorder="1" applyProtection="1">
      <protection hidden="1"/>
    </xf>
    <xf numFmtId="0" fontId="4" fillId="6" borderId="8" xfId="0" applyFont="1" applyFill="1" applyBorder="1" applyAlignment="1" applyProtection="1">
      <alignment horizontal="center"/>
      <protection hidden="1"/>
    </xf>
    <xf numFmtId="0" fontId="20" fillId="6" borderId="0" xfId="0" applyFont="1" applyFill="1" applyAlignment="1" applyProtection="1">
      <alignment horizontal="center"/>
      <protection hidden="1"/>
    </xf>
    <xf numFmtId="0" fontId="20" fillId="6" borderId="2" xfId="0" applyFont="1" applyFill="1" applyBorder="1" applyAlignment="1" applyProtection="1">
      <alignment horizontal="center"/>
      <protection hidden="1"/>
    </xf>
    <xf numFmtId="44" fontId="4" fillId="6" borderId="2" xfId="3" applyFont="1" applyFill="1" applyBorder="1" applyProtection="1">
      <protection hidden="1"/>
    </xf>
    <xf numFmtId="44" fontId="4" fillId="6" borderId="6" xfId="3" applyFont="1" applyFill="1" applyBorder="1" applyProtection="1">
      <protection hidden="1"/>
    </xf>
    <xf numFmtId="44" fontId="4" fillId="6" borderId="7" xfId="3" applyFont="1" applyFill="1" applyBorder="1" applyProtection="1">
      <protection hidden="1"/>
    </xf>
    <xf numFmtId="0" fontId="4" fillId="6" borderId="8" xfId="0" applyFont="1" applyFill="1" applyBorder="1" applyAlignment="1" applyProtection="1">
      <alignment horizontal="left" vertical="center"/>
      <protection hidden="1"/>
    </xf>
    <xf numFmtId="44" fontId="4" fillId="6" borderId="0" xfId="3" applyFont="1" applyFill="1" applyBorder="1" applyAlignment="1" applyProtection="1">
      <alignment horizontal="right" vertical="center"/>
      <protection hidden="1"/>
    </xf>
    <xf numFmtId="8" fontId="4" fillId="6" borderId="0" xfId="0" applyNumberFormat="1" applyFont="1" applyFill="1" applyProtection="1">
      <protection hidden="1"/>
    </xf>
    <xf numFmtId="44" fontId="4" fillId="6" borderId="2" xfId="3" applyFont="1" applyFill="1" applyBorder="1" applyAlignment="1" applyProtection="1">
      <alignment horizontal="right" vertical="center"/>
      <protection hidden="1"/>
    </xf>
    <xf numFmtId="164" fontId="4" fillId="0" borderId="0" xfId="0" applyNumberFormat="1" applyFont="1" applyProtection="1">
      <protection hidden="1"/>
    </xf>
    <xf numFmtId="44" fontId="4" fillId="6" borderId="6" xfId="3" applyFont="1" applyFill="1" applyBorder="1" applyAlignment="1" applyProtection="1">
      <alignment horizontal="right"/>
      <protection hidden="1"/>
    </xf>
    <xf numFmtId="44" fontId="4" fillId="6" borderId="7" xfId="3" applyFont="1" applyFill="1" applyBorder="1" applyAlignment="1" applyProtection="1">
      <alignment horizontal="right"/>
      <protection hidden="1"/>
    </xf>
    <xf numFmtId="0" fontId="4" fillId="6" borderId="9" xfId="0" applyFont="1" applyFill="1" applyBorder="1" applyProtection="1">
      <protection hidden="1"/>
    </xf>
    <xf numFmtId="44" fontId="4" fillId="6" borderId="12" xfId="3" applyFont="1" applyFill="1" applyBorder="1" applyProtection="1">
      <protection hidden="1"/>
    </xf>
    <xf numFmtId="0" fontId="4" fillId="6" borderId="10" xfId="0" applyFont="1" applyFill="1" applyBorder="1" applyProtection="1">
      <protection hidden="1"/>
    </xf>
    <xf numFmtId="44" fontId="4" fillId="6" borderId="4" xfId="3" applyFont="1" applyFill="1" applyBorder="1" applyProtection="1">
      <protection hidden="1"/>
    </xf>
    <xf numFmtId="0" fontId="4" fillId="8" borderId="1" xfId="0" applyFont="1" applyFill="1" applyBorder="1" applyAlignment="1" applyProtection="1">
      <alignment horizontal="right"/>
      <protection hidden="1"/>
    </xf>
    <xf numFmtId="0" fontId="4" fillId="8" borderId="1" xfId="0" applyFont="1" applyFill="1" applyBorder="1" applyProtection="1">
      <protection hidden="1"/>
    </xf>
    <xf numFmtId="0" fontId="2" fillId="8" borderId="1" xfId="0" applyFont="1" applyFill="1" applyBorder="1" applyAlignment="1" applyProtection="1">
      <alignment horizontal="right"/>
      <protection hidden="1"/>
    </xf>
    <xf numFmtId="0" fontId="2" fillId="8" borderId="1" xfId="0" applyFont="1" applyFill="1" applyBorder="1" applyProtection="1">
      <protection hidden="1"/>
    </xf>
    <xf numFmtId="9" fontId="4" fillId="8" borderId="1" xfId="10" applyFont="1" applyFill="1" applyBorder="1" applyProtection="1">
      <protection hidden="1"/>
    </xf>
    <xf numFmtId="0" fontId="5" fillId="3" borderId="0" xfId="0" applyFont="1" applyFill="1" applyAlignment="1" applyProtection="1">
      <alignment horizontal="center"/>
      <protection hidden="1"/>
    </xf>
    <xf numFmtId="0" fontId="2" fillId="3" borderId="0" xfId="0" applyFont="1" applyFill="1" applyAlignment="1" applyProtection="1">
      <alignment horizontal="left"/>
      <protection hidden="1"/>
    </xf>
    <xf numFmtId="10" fontId="4" fillId="3" borderId="0" xfId="10" applyNumberFormat="1" applyFont="1" applyFill="1" applyBorder="1" applyAlignment="1" applyProtection="1">
      <alignment horizontal="center"/>
      <protection hidden="1"/>
    </xf>
    <xf numFmtId="164" fontId="4" fillId="3" borderId="0" xfId="3" applyNumberFormat="1" applyFont="1" applyFill="1" applyBorder="1" applyProtection="1">
      <protection hidden="1"/>
    </xf>
    <xf numFmtId="0" fontId="0" fillId="0" borderId="0" xfId="0" applyAlignment="1" applyProtection="1">
      <alignment horizontal="center"/>
      <protection hidden="1"/>
    </xf>
    <xf numFmtId="0" fontId="1" fillId="3" borderId="0" xfId="0" applyFont="1" applyFill="1" applyAlignment="1" applyProtection="1">
      <alignment horizontal="center"/>
      <protection hidden="1"/>
    </xf>
    <xf numFmtId="0" fontId="5" fillId="0" borderId="0" xfId="0" applyFont="1" applyAlignment="1" applyProtection="1">
      <alignment horizontal="center"/>
      <protection hidden="1"/>
    </xf>
    <xf numFmtId="0" fontId="4" fillId="3" borderId="0" xfId="0" applyFont="1" applyFill="1" applyAlignment="1" applyProtection="1">
      <alignment horizontal="center" vertical="center"/>
      <protection hidden="1"/>
    </xf>
    <xf numFmtId="0" fontId="1" fillId="4" borderId="0" xfId="0" applyFont="1" applyFill="1" applyProtection="1">
      <protection hidden="1"/>
    </xf>
    <xf numFmtId="44" fontId="0" fillId="0" borderId="0" xfId="3" applyFont="1" applyProtection="1">
      <protection hidden="1"/>
    </xf>
    <xf numFmtId="0" fontId="1" fillId="3" borderId="0" xfId="0" applyFont="1" applyFill="1" applyProtection="1">
      <protection hidden="1"/>
    </xf>
    <xf numFmtId="0" fontId="3" fillId="0" borderId="0" xfId="0" applyFont="1" applyProtection="1">
      <protection hidden="1"/>
    </xf>
    <xf numFmtId="165" fontId="1" fillId="3" borderId="1" xfId="10" applyNumberFormat="1" applyFont="1" applyFill="1" applyBorder="1" applyAlignment="1" applyProtection="1">
      <alignment horizontal="center"/>
      <protection hidden="1"/>
    </xf>
    <xf numFmtId="9" fontId="1" fillId="3" borderId="4" xfId="10" applyFont="1" applyFill="1" applyBorder="1" applyAlignment="1" applyProtection="1">
      <alignment horizontal="center"/>
      <protection hidden="1"/>
    </xf>
    <xf numFmtId="0" fontId="0" fillId="8" borderId="1" xfId="0" applyFill="1" applyBorder="1" applyAlignment="1" applyProtection="1">
      <alignment horizontal="center"/>
      <protection hidden="1"/>
    </xf>
    <xf numFmtId="0" fontId="10" fillId="3" borderId="0" xfId="9" applyFont="1" applyFill="1" applyAlignment="1" applyProtection="1">
      <alignment horizontal="center"/>
      <protection hidden="1"/>
    </xf>
    <xf numFmtId="0" fontId="0" fillId="3" borderId="0" xfId="0" quotePrefix="1" applyFill="1" applyProtection="1">
      <protection hidden="1"/>
    </xf>
    <xf numFmtId="10" fontId="31" fillId="3" borderId="0" xfId="10" applyNumberFormat="1" applyFont="1" applyFill="1" applyProtection="1">
      <protection hidden="1"/>
    </xf>
    <xf numFmtId="44" fontId="2" fillId="0" borderId="0" xfId="3" applyFont="1" applyProtection="1">
      <protection hidden="1"/>
    </xf>
    <xf numFmtId="1" fontId="0" fillId="3" borderId="0" xfId="0" applyNumberFormat="1" applyFill="1" applyProtection="1">
      <protection hidden="1"/>
    </xf>
    <xf numFmtId="44" fontId="0" fillId="0" borderId="1" xfId="3" applyFont="1" applyFill="1" applyBorder="1" applyProtection="1">
      <protection hidden="1"/>
    </xf>
    <xf numFmtId="0" fontId="0" fillId="0" borderId="1" xfId="0" applyBorder="1" applyAlignment="1" applyProtection="1">
      <alignment horizontal="center"/>
      <protection hidden="1"/>
    </xf>
    <xf numFmtId="44" fontId="1" fillId="3" borderId="0" xfId="3" applyFont="1" applyFill="1" applyProtection="1">
      <protection hidden="1"/>
    </xf>
    <xf numFmtId="0" fontId="5" fillId="9" borderId="0" xfId="0" applyFont="1" applyFill="1" applyProtection="1">
      <protection hidden="1"/>
    </xf>
    <xf numFmtId="0" fontId="20" fillId="9" borderId="0" xfId="0" applyFont="1" applyFill="1" applyProtection="1">
      <protection hidden="1"/>
    </xf>
    <xf numFmtId="0" fontId="2" fillId="9" borderId="0" xfId="0" applyFont="1" applyFill="1" applyProtection="1">
      <protection hidden="1"/>
    </xf>
    <xf numFmtId="0" fontId="0" fillId="9" borderId="0" xfId="0" applyFill="1" applyProtection="1">
      <protection hidden="1"/>
    </xf>
    <xf numFmtId="0" fontId="0" fillId="3" borderId="0" xfId="0" applyFill="1" applyAlignment="1" applyProtection="1">
      <alignment horizontal="center"/>
      <protection hidden="1"/>
    </xf>
    <xf numFmtId="44" fontId="0" fillId="0" borderId="1" xfId="3" applyFont="1" applyBorder="1" applyProtection="1">
      <protection hidden="1"/>
    </xf>
    <xf numFmtId="0" fontId="0" fillId="3" borderId="0" xfId="0" applyFill="1" applyAlignment="1" applyProtection="1">
      <alignment horizontal="left"/>
      <protection hidden="1"/>
    </xf>
    <xf numFmtId="0" fontId="9" fillId="3" borderId="0" xfId="0" applyFont="1" applyFill="1" applyProtection="1">
      <protection hidden="1"/>
    </xf>
    <xf numFmtId="0" fontId="10" fillId="3" borderId="0" xfId="0" applyFont="1" applyFill="1" applyProtection="1">
      <protection hidden="1"/>
    </xf>
    <xf numFmtId="0" fontId="47" fillId="3" borderId="0" xfId="0" applyFont="1" applyFill="1" applyAlignment="1" applyProtection="1">
      <alignment horizontal="center"/>
      <protection hidden="1"/>
    </xf>
    <xf numFmtId="0" fontId="10" fillId="3" borderId="0" xfId="0" applyFont="1" applyFill="1" applyAlignment="1" applyProtection="1">
      <alignment horizontal="center"/>
      <protection hidden="1"/>
    </xf>
    <xf numFmtId="0" fontId="39" fillId="3" borderId="0" xfId="0" applyFont="1" applyFill="1" applyAlignment="1" applyProtection="1">
      <alignment horizontal="center"/>
      <protection hidden="1"/>
    </xf>
    <xf numFmtId="0" fontId="47" fillId="3" borderId="0" xfId="0" applyFont="1" applyFill="1" applyProtection="1">
      <protection hidden="1"/>
    </xf>
    <xf numFmtId="0" fontId="4" fillId="0" borderId="0" xfId="0" applyFont="1" applyAlignment="1" applyProtection="1">
      <alignment vertical="center"/>
      <protection hidden="1"/>
    </xf>
    <xf numFmtId="0" fontId="30" fillId="3" borderId="0" xfId="0" applyFont="1" applyFill="1" applyAlignment="1" applyProtection="1">
      <alignment horizontal="left"/>
      <protection hidden="1"/>
    </xf>
    <xf numFmtId="44" fontId="47" fillId="3" borderId="0" xfId="3" applyFont="1" applyFill="1" applyBorder="1" applyAlignment="1" applyProtection="1">
      <alignment horizontal="center"/>
      <protection hidden="1"/>
    </xf>
    <xf numFmtId="44" fontId="10" fillId="3" borderId="0" xfId="3" applyFont="1" applyFill="1" applyBorder="1" applyAlignment="1" applyProtection="1">
      <alignment horizontal="center"/>
      <protection hidden="1"/>
    </xf>
    <xf numFmtId="164" fontId="47" fillId="10" borderId="5" xfId="3" applyNumberFormat="1" applyFont="1" applyFill="1" applyBorder="1" applyProtection="1">
      <protection hidden="1"/>
    </xf>
    <xf numFmtId="0" fontId="10" fillId="10" borderId="6" xfId="0" applyFont="1" applyFill="1" applyBorder="1" applyAlignment="1" applyProtection="1">
      <alignment horizontal="center"/>
      <protection hidden="1"/>
    </xf>
    <xf numFmtId="0" fontId="10" fillId="10" borderId="6" xfId="0" applyFont="1" applyFill="1" applyBorder="1" applyProtection="1">
      <protection hidden="1"/>
    </xf>
    <xf numFmtId="0" fontId="47" fillId="10" borderId="6" xfId="0" applyFont="1" applyFill="1" applyBorder="1" applyProtection="1">
      <protection hidden="1"/>
    </xf>
    <xf numFmtId="0" fontId="10" fillId="10" borderId="7" xfId="0" applyFont="1" applyFill="1" applyBorder="1" applyProtection="1">
      <protection hidden="1"/>
    </xf>
    <xf numFmtId="0" fontId="4" fillId="0" borderId="0" xfId="0" applyFont="1" applyAlignment="1" applyProtection="1">
      <alignment horizontal="left"/>
      <protection hidden="1"/>
    </xf>
    <xf numFmtId="0" fontId="10" fillId="3" borderId="0" xfId="0" applyFont="1" applyFill="1" applyAlignment="1" applyProtection="1">
      <alignment horizontal="left"/>
      <protection hidden="1"/>
    </xf>
    <xf numFmtId="44" fontId="40" fillId="9" borderId="8" xfId="3" applyFont="1" applyFill="1" applyBorder="1" applyAlignment="1" applyProtection="1">
      <alignment horizontal="right" vertical="center"/>
      <protection hidden="1"/>
    </xf>
    <xf numFmtId="44" fontId="4" fillId="9" borderId="0" xfId="3" applyFont="1" applyFill="1" applyBorder="1" applyAlignment="1" applyProtection="1">
      <alignment horizontal="right" vertical="center"/>
      <protection hidden="1"/>
    </xf>
    <xf numFmtId="44" fontId="40" fillId="9" borderId="0" xfId="3" applyFont="1" applyFill="1" applyBorder="1" applyAlignment="1" applyProtection="1">
      <alignment horizontal="right" vertical="center"/>
      <protection hidden="1"/>
    </xf>
    <xf numFmtId="44" fontId="4" fillId="9" borderId="2" xfId="3" applyFont="1" applyFill="1" applyBorder="1" applyAlignment="1" applyProtection="1">
      <alignment horizontal="right" vertical="center"/>
      <protection hidden="1"/>
    </xf>
    <xf numFmtId="44" fontId="9" fillId="3" borderId="0" xfId="3" applyFont="1" applyFill="1" applyBorder="1" applyProtection="1">
      <protection hidden="1"/>
    </xf>
    <xf numFmtId="164" fontId="1" fillId="3" borderId="0" xfId="3" applyNumberFormat="1" applyFont="1" applyFill="1" applyProtection="1">
      <protection hidden="1"/>
    </xf>
    <xf numFmtId="44" fontId="0" fillId="0" borderId="0" xfId="0" applyNumberFormat="1" applyAlignment="1" applyProtection="1">
      <alignment horizontal="left"/>
      <protection hidden="1"/>
    </xf>
    <xf numFmtId="0" fontId="0" fillId="5" borderId="1" xfId="0" applyFill="1" applyBorder="1" applyAlignment="1" applyProtection="1">
      <alignment horizontal="center"/>
      <protection hidden="1"/>
    </xf>
    <xf numFmtId="164" fontId="1" fillId="3" borderId="0" xfId="3" applyNumberFormat="1" applyFont="1" applyFill="1" applyAlignment="1" applyProtection="1">
      <alignment horizontal="left"/>
      <protection hidden="1"/>
    </xf>
    <xf numFmtId="0" fontId="20" fillId="3" borderId="0" xfId="0" applyFont="1" applyFill="1" applyAlignment="1" applyProtection="1">
      <alignment horizontal="right"/>
      <protection hidden="1"/>
    </xf>
    <xf numFmtId="44" fontId="4" fillId="0" borderId="0" xfId="3" applyFont="1" applyAlignment="1" applyProtection="1">
      <alignment horizontal="left"/>
      <protection hidden="1"/>
    </xf>
    <xf numFmtId="0" fontId="49" fillId="0" borderId="0" xfId="0" applyFont="1" applyAlignment="1" applyProtection="1">
      <alignment horizontal="left"/>
      <protection hidden="1"/>
    </xf>
    <xf numFmtId="0" fontId="0" fillId="8" borderId="1" xfId="0" applyFill="1" applyBorder="1" applyProtection="1">
      <protection hidden="1"/>
    </xf>
    <xf numFmtId="0" fontId="47" fillId="10" borderId="9" xfId="0" applyFont="1" applyFill="1" applyBorder="1" applyProtection="1">
      <protection hidden="1"/>
    </xf>
    <xf numFmtId="0" fontId="10" fillId="10" borderId="10" xfId="0" applyFont="1" applyFill="1" applyBorder="1" applyProtection="1">
      <protection hidden="1"/>
    </xf>
    <xf numFmtId="0" fontId="0" fillId="10" borderId="10" xfId="0" applyFill="1" applyBorder="1" applyProtection="1">
      <protection hidden="1"/>
    </xf>
    <xf numFmtId="0" fontId="40" fillId="10" borderId="10" xfId="0" applyFont="1" applyFill="1" applyBorder="1" applyProtection="1">
      <protection hidden="1"/>
    </xf>
    <xf numFmtId="0" fontId="0" fillId="10" borderId="11" xfId="0" applyFill="1" applyBorder="1" applyProtection="1">
      <protection hidden="1"/>
    </xf>
    <xf numFmtId="0" fontId="1" fillId="15" borderId="1" xfId="0" applyFont="1" applyFill="1" applyBorder="1" applyAlignment="1" applyProtection="1">
      <alignment horizontal="center"/>
      <protection hidden="1"/>
    </xf>
    <xf numFmtId="0" fontId="0" fillId="8" borderId="1" xfId="0" applyFill="1" applyBorder="1" applyAlignment="1" applyProtection="1">
      <alignment horizontal="left"/>
      <protection hidden="1"/>
    </xf>
    <xf numFmtId="0" fontId="30" fillId="3" borderId="0" xfId="0" applyFont="1" applyFill="1" applyProtection="1">
      <protection hidden="1"/>
    </xf>
    <xf numFmtId="9" fontId="0" fillId="3" borderId="0" xfId="0" applyNumberFormat="1" applyFill="1" applyAlignment="1" applyProtection="1">
      <alignment horizontal="center"/>
      <protection hidden="1"/>
    </xf>
    <xf numFmtId="9" fontId="32" fillId="8" borderId="1" xfId="10" applyFont="1" applyFill="1" applyBorder="1" applyAlignment="1" applyProtection="1">
      <alignment horizontal="center"/>
      <protection hidden="1"/>
    </xf>
    <xf numFmtId="44" fontId="47" fillId="3" borderId="0" xfId="3" applyFont="1" applyFill="1" applyBorder="1" applyProtection="1">
      <protection hidden="1"/>
    </xf>
    <xf numFmtId="44" fontId="10" fillId="3" borderId="0" xfId="3" applyFont="1" applyFill="1" applyBorder="1" applyProtection="1">
      <protection hidden="1"/>
    </xf>
    <xf numFmtId="44" fontId="0" fillId="0" borderId="0" xfId="0" applyNumberFormat="1" applyAlignment="1" applyProtection="1">
      <alignment horizontal="center"/>
      <protection hidden="1"/>
    </xf>
    <xf numFmtId="0" fontId="4" fillId="3" borderId="0" xfId="0" applyFont="1" applyFill="1" applyAlignment="1" applyProtection="1">
      <alignment horizontal="right"/>
      <protection hidden="1"/>
    </xf>
    <xf numFmtId="0" fontId="5" fillId="3" borderId="5" xfId="0" applyFont="1" applyFill="1" applyBorder="1" applyAlignment="1" applyProtection="1">
      <alignment horizontal="left"/>
      <protection hidden="1"/>
    </xf>
    <xf numFmtId="0" fontId="0" fillId="3" borderId="7" xfId="0" applyFill="1" applyBorder="1" applyAlignment="1" applyProtection="1">
      <alignment horizontal="center"/>
      <protection hidden="1"/>
    </xf>
    <xf numFmtId="9" fontId="0" fillId="0" borderId="1" xfId="10" applyFont="1" applyBorder="1" applyAlignment="1" applyProtection="1">
      <alignment horizontal="center"/>
      <protection hidden="1"/>
    </xf>
    <xf numFmtId="9" fontId="0" fillId="0" borderId="0" xfId="10" applyFont="1" applyBorder="1" applyAlignment="1" applyProtection="1">
      <alignment horizontal="center"/>
      <protection hidden="1"/>
    </xf>
    <xf numFmtId="0" fontId="0" fillId="3" borderId="8" xfId="0" applyFill="1" applyBorder="1" applyAlignment="1" applyProtection="1">
      <alignment horizontal="left"/>
      <protection hidden="1"/>
    </xf>
    <xf numFmtId="0" fontId="0" fillId="3" borderId="2" xfId="0" applyFill="1" applyBorder="1" applyAlignment="1" applyProtection="1">
      <alignment horizontal="center"/>
      <protection hidden="1"/>
    </xf>
    <xf numFmtId="9" fontId="0" fillId="0" borderId="1" xfId="10" applyFont="1" applyFill="1" applyBorder="1" applyAlignment="1" applyProtection="1">
      <alignment horizontal="center"/>
      <protection hidden="1"/>
    </xf>
    <xf numFmtId="9" fontId="0" fillId="0" borderId="0" xfId="10" applyFont="1" applyFill="1" applyBorder="1" applyAlignment="1" applyProtection="1">
      <alignment horizontal="center"/>
      <protection hidden="1"/>
    </xf>
    <xf numFmtId="170" fontId="41" fillId="0" borderId="0" xfId="0" applyNumberFormat="1" applyFont="1" applyProtection="1">
      <protection hidden="1"/>
    </xf>
    <xf numFmtId="0" fontId="20" fillId="8" borderId="0" xfId="0" applyFont="1" applyFill="1" applyAlignment="1" applyProtection="1">
      <alignment horizontal="left"/>
      <protection hidden="1"/>
    </xf>
    <xf numFmtId="44" fontId="18" fillId="0" borderId="1" xfId="3" applyFont="1" applyFill="1" applyBorder="1" applyProtection="1">
      <protection hidden="1"/>
    </xf>
    <xf numFmtId="0" fontId="0" fillId="8" borderId="0" xfId="0" applyFill="1" applyAlignment="1" applyProtection="1">
      <alignment horizontal="center"/>
      <protection hidden="1"/>
    </xf>
    <xf numFmtId="0" fontId="4" fillId="8" borderId="0" xfId="0" applyFont="1" applyFill="1" applyAlignment="1" applyProtection="1">
      <alignment horizontal="left"/>
      <protection hidden="1"/>
    </xf>
    <xf numFmtId="0" fontId="2" fillId="0" borderId="0" xfId="0" applyFont="1" applyAlignment="1" applyProtection="1">
      <alignment horizontal="left" vertical="center" wrapText="1"/>
      <protection hidden="1"/>
    </xf>
    <xf numFmtId="0" fontId="4" fillId="8" borderId="5" xfId="0" applyFont="1" applyFill="1" applyBorder="1" applyProtection="1">
      <protection hidden="1"/>
    </xf>
    <xf numFmtId="0" fontId="0" fillId="8" borderId="7" xfId="0" applyFill="1" applyBorder="1" applyProtection="1">
      <protection hidden="1"/>
    </xf>
    <xf numFmtId="0" fontId="4" fillId="8" borderId="9" xfId="0" applyFont="1" applyFill="1" applyBorder="1" applyProtection="1">
      <protection hidden="1"/>
    </xf>
    <xf numFmtId="0" fontId="0" fillId="8" borderId="11" xfId="0" applyFill="1" applyBorder="1" applyProtection="1">
      <protection hidden="1"/>
    </xf>
    <xf numFmtId="0" fontId="0" fillId="0" borderId="2" xfId="0" applyBorder="1" applyAlignment="1" applyProtection="1">
      <alignment horizontal="left"/>
      <protection hidden="1"/>
    </xf>
    <xf numFmtId="0" fontId="0" fillId="3" borderId="9" xfId="0" applyFill="1" applyBorder="1" applyProtection="1">
      <protection hidden="1"/>
    </xf>
    <xf numFmtId="0" fontId="0" fillId="3" borderId="11" xfId="0" applyFill="1" applyBorder="1" applyAlignment="1" applyProtection="1">
      <alignment horizontal="center"/>
      <protection hidden="1"/>
    </xf>
    <xf numFmtId="44" fontId="4" fillId="9" borderId="18" xfId="3" applyFont="1" applyFill="1" applyBorder="1" applyAlignment="1" applyProtection="1">
      <alignment horizontal="right" vertical="center"/>
      <protection hidden="1"/>
    </xf>
    <xf numFmtId="2" fontId="0" fillId="3" borderId="0" xfId="0" applyNumberFormat="1" applyFill="1" applyProtection="1">
      <protection hidden="1"/>
    </xf>
    <xf numFmtId="44" fontId="4" fillId="9" borderId="22" xfId="3" applyFont="1" applyFill="1" applyBorder="1" applyAlignment="1" applyProtection="1">
      <alignment horizontal="right" vertical="center"/>
      <protection hidden="1"/>
    </xf>
    <xf numFmtId="0" fontId="20" fillId="8" borderId="5" xfId="0" applyFont="1" applyFill="1" applyBorder="1" applyProtection="1">
      <protection hidden="1"/>
    </xf>
    <xf numFmtId="0" fontId="0" fillId="8" borderId="6" xfId="0" applyFill="1" applyBorder="1" applyProtection="1">
      <protection hidden="1"/>
    </xf>
    <xf numFmtId="0" fontId="0" fillId="10" borderId="7" xfId="0" applyFill="1" applyBorder="1" applyProtection="1">
      <protection hidden="1"/>
    </xf>
    <xf numFmtId="0" fontId="0" fillId="8" borderId="8" xfId="0" applyFill="1" applyBorder="1" applyProtection="1">
      <protection hidden="1"/>
    </xf>
    <xf numFmtId="0" fontId="0" fillId="8" borderId="2" xfId="0" applyFill="1" applyBorder="1" applyAlignment="1" applyProtection="1">
      <alignment horizontal="center"/>
      <protection hidden="1"/>
    </xf>
    <xf numFmtId="44" fontId="0" fillId="10" borderId="2" xfId="0" applyNumberFormat="1" applyFill="1" applyBorder="1" applyProtection="1">
      <protection hidden="1"/>
    </xf>
    <xf numFmtId="44" fontId="4" fillId="9" borderId="23" xfId="3" applyFont="1" applyFill="1" applyBorder="1" applyAlignment="1" applyProtection="1">
      <alignment horizontal="right" vertical="center"/>
      <protection hidden="1"/>
    </xf>
    <xf numFmtId="44" fontId="0" fillId="10" borderId="11" xfId="0" applyNumberFormat="1" applyFill="1" applyBorder="1" applyProtection="1">
      <protection hidden="1"/>
    </xf>
    <xf numFmtId="0" fontId="40" fillId="0" borderId="0" xfId="0" applyFont="1" applyAlignment="1" applyProtection="1">
      <alignment horizontal="center"/>
      <protection hidden="1"/>
    </xf>
    <xf numFmtId="0" fontId="0" fillId="8" borderId="25" xfId="0" applyFill="1" applyBorder="1" applyAlignment="1" applyProtection="1">
      <alignment horizontal="center"/>
      <protection hidden="1"/>
    </xf>
    <xf numFmtId="44" fontId="0" fillId="0" borderId="1" xfId="0" applyNumberFormat="1" applyBorder="1" applyProtection="1">
      <protection hidden="1"/>
    </xf>
    <xf numFmtId="2" fontId="2" fillId="3" borderId="0" xfId="0" applyNumberFormat="1" applyFont="1" applyFill="1" applyProtection="1">
      <protection hidden="1"/>
    </xf>
    <xf numFmtId="0" fontId="0" fillId="8" borderId="9" xfId="0" applyFill="1" applyBorder="1" applyProtection="1">
      <protection hidden="1"/>
    </xf>
    <xf numFmtId="0" fontId="0" fillId="8" borderId="10" xfId="0" applyFill="1" applyBorder="1" applyProtection="1">
      <protection hidden="1"/>
    </xf>
    <xf numFmtId="0" fontId="0" fillId="8" borderId="11" xfId="0" applyFill="1" applyBorder="1" applyAlignment="1" applyProtection="1">
      <alignment horizontal="center"/>
      <protection hidden="1"/>
    </xf>
    <xf numFmtId="2" fontId="0" fillId="10" borderId="2" xfId="0" applyNumberFormat="1" applyFill="1" applyBorder="1" applyProtection="1">
      <protection hidden="1"/>
    </xf>
    <xf numFmtId="2" fontId="0" fillId="10" borderId="11" xfId="0" applyNumberFormat="1" applyFill="1" applyBorder="1" applyProtection="1">
      <protection hidden="1"/>
    </xf>
    <xf numFmtId="2" fontId="4" fillId="3" borderId="0" xfId="0" applyNumberFormat="1" applyFont="1" applyFill="1" applyProtection="1">
      <protection hidden="1"/>
    </xf>
    <xf numFmtId="44" fontId="4" fillId="9" borderId="18" xfId="0" applyNumberFormat="1" applyFont="1" applyFill="1" applyBorder="1" applyProtection="1">
      <protection hidden="1"/>
    </xf>
    <xf numFmtId="44" fontId="4" fillId="9" borderId="22" xfId="0" applyNumberFormat="1" applyFont="1" applyFill="1" applyBorder="1" applyProtection="1">
      <protection hidden="1"/>
    </xf>
    <xf numFmtId="0" fontId="0" fillId="0" borderId="1" xfId="0" applyBorder="1" applyProtection="1">
      <protection hidden="1"/>
    </xf>
    <xf numFmtId="10" fontId="0" fillId="0" borderId="1" xfId="0" applyNumberFormat="1" applyBorder="1" applyProtection="1">
      <protection hidden="1"/>
    </xf>
    <xf numFmtId="44" fontId="2" fillId="0" borderId="0" xfId="0" applyNumberFormat="1" applyFont="1" applyProtection="1">
      <protection hidden="1"/>
    </xf>
    <xf numFmtId="44" fontId="4" fillId="9" borderId="23" xfId="0" applyNumberFormat="1" applyFont="1" applyFill="1" applyBorder="1" applyProtection="1">
      <protection hidden="1"/>
    </xf>
    <xf numFmtId="44" fontId="2" fillId="3" borderId="0" xfId="0" applyNumberFormat="1" applyFont="1" applyFill="1" applyProtection="1">
      <protection hidden="1"/>
    </xf>
    <xf numFmtId="10" fontId="0" fillId="0" borderId="1" xfId="10" applyNumberFormat="1" applyFont="1" applyBorder="1" applyAlignment="1" applyProtection="1">
      <alignment horizontal="center"/>
      <protection hidden="1"/>
    </xf>
    <xf numFmtId="0" fontId="12" fillId="0" borderId="0" xfId="0" applyFont="1" applyProtection="1">
      <protection hidden="1"/>
    </xf>
    <xf numFmtId="0" fontId="4" fillId="10" borderId="1" xfId="0" applyFont="1" applyFill="1" applyBorder="1" applyAlignment="1" applyProtection="1">
      <alignment horizontal="center" vertical="center"/>
      <protection hidden="1"/>
    </xf>
    <xf numFmtId="0" fontId="0" fillId="6" borderId="3" xfId="0" applyFill="1" applyBorder="1" applyProtection="1">
      <protection hidden="1"/>
    </xf>
    <xf numFmtId="0" fontId="0" fillId="6" borderId="12" xfId="0" applyFill="1" applyBorder="1" applyProtection="1">
      <protection hidden="1"/>
    </xf>
    <xf numFmtId="0" fontId="0" fillId="6" borderId="4" xfId="0" applyFill="1" applyBorder="1" applyProtection="1">
      <protection hidden="1"/>
    </xf>
    <xf numFmtId="44" fontId="50" fillId="0" borderId="0" xfId="3" applyFont="1" applyProtection="1">
      <protection hidden="1"/>
    </xf>
    <xf numFmtId="164" fontId="4" fillId="2" borderId="1" xfId="3" applyNumberFormat="1" applyFont="1" applyFill="1" applyBorder="1" applyAlignment="1" applyProtection="1">
      <alignment horizontal="left"/>
      <protection hidden="1"/>
    </xf>
    <xf numFmtId="171" fontId="0" fillId="10" borderId="1" xfId="0" applyNumberFormat="1" applyFill="1" applyBorder="1" applyAlignment="1" applyProtection="1">
      <alignment horizontal="center"/>
      <protection hidden="1"/>
    </xf>
    <xf numFmtId="0" fontId="2" fillId="14" borderId="1" xfId="0" applyFont="1" applyFill="1" applyBorder="1" applyAlignment="1" applyProtection="1">
      <alignment horizontal="center"/>
      <protection hidden="1"/>
    </xf>
    <xf numFmtId="0" fontId="4" fillId="10" borderId="1" xfId="0" applyFont="1" applyFill="1" applyBorder="1" applyAlignment="1" applyProtection="1">
      <alignment horizontal="center"/>
      <protection hidden="1"/>
    </xf>
    <xf numFmtId="0" fontId="2" fillId="10" borderId="1" xfId="0" applyFont="1" applyFill="1" applyBorder="1" applyAlignment="1" applyProtection="1">
      <alignment horizontal="center"/>
      <protection hidden="1"/>
    </xf>
    <xf numFmtId="0" fontId="2" fillId="0" borderId="0" xfId="0" applyFont="1" applyAlignment="1" applyProtection="1">
      <alignment horizontal="center"/>
      <protection hidden="1"/>
    </xf>
    <xf numFmtId="0" fontId="6" fillId="0" borderId="0" xfId="0" applyFont="1" applyAlignment="1" applyProtection="1">
      <alignment vertical="center" wrapText="1"/>
      <protection hidden="1"/>
    </xf>
    <xf numFmtId="0" fontId="4" fillId="10" borderId="10" xfId="0" applyFont="1" applyFill="1" applyBorder="1" applyProtection="1">
      <protection hidden="1"/>
    </xf>
    <xf numFmtId="0" fontId="20" fillId="10" borderId="0" xfId="0" applyFont="1" applyFill="1" applyAlignment="1" applyProtection="1">
      <alignment horizontal="center"/>
      <protection hidden="1"/>
    </xf>
    <xf numFmtId="10" fontId="2" fillId="14" borderId="1" xfId="10" applyNumberFormat="1" applyFont="1" applyFill="1" applyBorder="1" applyAlignment="1" applyProtection="1">
      <alignment horizontal="center"/>
      <protection hidden="1"/>
    </xf>
    <xf numFmtId="44" fontId="0" fillId="5" borderId="1" xfId="3" applyFont="1" applyFill="1" applyBorder="1" applyAlignment="1" applyProtection="1">
      <alignment horizontal="center"/>
      <protection hidden="1"/>
    </xf>
    <xf numFmtId="0" fontId="0" fillId="10" borderId="1" xfId="0" applyFill="1" applyBorder="1" applyAlignment="1" applyProtection="1">
      <alignment horizontal="center"/>
      <protection hidden="1"/>
    </xf>
    <xf numFmtId="10" fontId="0" fillId="6" borderId="1" xfId="10" applyNumberFormat="1" applyFont="1" applyFill="1" applyBorder="1" applyAlignment="1" applyProtection="1">
      <alignment horizontal="center"/>
      <protection hidden="1"/>
    </xf>
    <xf numFmtId="2" fontId="0" fillId="10" borderId="0" xfId="0" applyNumberFormat="1" applyFill="1" applyProtection="1">
      <protection hidden="1"/>
    </xf>
    <xf numFmtId="0" fontId="2" fillId="0" borderId="1" xfId="0" applyFont="1" applyBorder="1" applyAlignment="1" applyProtection="1">
      <alignment horizontal="center" vertical="center"/>
      <protection hidden="1"/>
    </xf>
    <xf numFmtId="44" fontId="2" fillId="0" borderId="1" xfId="3" applyFont="1" applyBorder="1" applyAlignment="1" applyProtection="1">
      <alignment horizontal="center" vertical="center"/>
      <protection hidden="1"/>
    </xf>
    <xf numFmtId="0" fontId="2" fillId="0" borderId="1" xfId="0" applyFont="1" applyBorder="1" applyAlignment="1" applyProtection="1">
      <alignment horizontal="center" vertical="center" wrapText="1"/>
      <protection hidden="1"/>
    </xf>
    <xf numFmtId="164" fontId="4" fillId="3" borderId="0" xfId="3" applyNumberFormat="1" applyFont="1" applyFill="1" applyAlignment="1" applyProtection="1">
      <alignment horizontal="center" vertical="center"/>
      <protection hidden="1"/>
    </xf>
    <xf numFmtId="0" fontId="4" fillId="10" borderId="0" xfId="0" applyFont="1" applyFill="1" applyAlignment="1" applyProtection="1">
      <alignment horizontal="center" vertical="center" wrapText="1"/>
      <protection hidden="1"/>
    </xf>
    <xf numFmtId="0" fontId="0" fillId="10" borderId="0" xfId="0" applyFill="1" applyAlignment="1" applyProtection="1">
      <alignment horizontal="center" vertical="center" wrapText="1"/>
      <protection hidden="1"/>
    </xf>
    <xf numFmtId="0" fontId="4" fillId="10" borderId="0" xfId="0" applyFont="1" applyFill="1" applyAlignment="1" applyProtection="1">
      <alignment horizontal="center" vertical="center"/>
      <protection hidden="1"/>
    </xf>
    <xf numFmtId="0" fontId="20" fillId="10" borderId="0" xfId="0" applyFont="1" applyFill="1" applyAlignment="1" applyProtection="1">
      <alignment horizontal="center" vertical="center"/>
      <protection hidden="1"/>
    </xf>
    <xf numFmtId="0" fontId="2" fillId="12" borderId="1" xfId="0" applyFont="1" applyFill="1" applyBorder="1" applyAlignment="1" applyProtection="1">
      <alignment horizontal="center" vertical="center"/>
      <protection hidden="1"/>
    </xf>
    <xf numFmtId="0" fontId="2" fillId="14" borderId="1" xfId="0" applyFont="1" applyFill="1" applyBorder="1" applyAlignment="1" applyProtection="1">
      <alignment horizontal="center" vertical="center" wrapText="1"/>
      <protection hidden="1"/>
    </xf>
    <xf numFmtId="0" fontId="2" fillId="10" borderId="1" xfId="0" applyFont="1" applyFill="1" applyBorder="1" applyAlignment="1" applyProtection="1">
      <alignment horizontal="center" vertical="center" wrapText="1"/>
      <protection hidden="1"/>
    </xf>
    <xf numFmtId="168" fontId="1" fillId="0" borderId="1" xfId="3" applyNumberFormat="1" applyFont="1" applyFill="1" applyBorder="1" applyAlignment="1" applyProtection="1">
      <alignment horizontal="center"/>
      <protection hidden="1"/>
    </xf>
    <xf numFmtId="0" fontId="1" fillId="0" borderId="0" xfId="0" applyFont="1" applyAlignment="1" applyProtection="1">
      <alignment horizontal="center"/>
      <protection hidden="1"/>
    </xf>
    <xf numFmtId="2" fontId="0" fillId="0" borderId="1" xfId="0" applyNumberFormat="1" applyBorder="1" applyProtection="1">
      <protection hidden="1"/>
    </xf>
    <xf numFmtId="2" fontId="0" fillId="3" borderId="0" xfId="0" applyNumberFormat="1" applyFill="1" applyAlignment="1" applyProtection="1">
      <alignment horizontal="center"/>
      <protection hidden="1"/>
    </xf>
    <xf numFmtId="8" fontId="0" fillId="10" borderId="0" xfId="0" applyNumberFormat="1" applyFill="1" applyProtection="1">
      <protection hidden="1"/>
    </xf>
    <xf numFmtId="44" fontId="0" fillId="10" borderId="0" xfId="0" applyNumberFormat="1" applyFill="1" applyProtection="1">
      <protection hidden="1"/>
    </xf>
    <xf numFmtId="168" fontId="1" fillId="12" borderId="1" xfId="3" applyNumberFormat="1" applyFont="1" applyFill="1" applyBorder="1" applyAlignment="1" applyProtection="1">
      <alignment horizontal="center"/>
      <protection hidden="1"/>
    </xf>
    <xf numFmtId="10" fontId="0" fillId="12" borderId="1" xfId="10" applyNumberFormat="1" applyFont="1" applyFill="1" applyBorder="1" applyAlignment="1" applyProtection="1">
      <alignment horizontal="center"/>
      <protection hidden="1"/>
    </xf>
    <xf numFmtId="2" fontId="0" fillId="12" borderId="1" xfId="0" applyNumberFormat="1" applyFill="1" applyBorder="1" applyProtection="1">
      <protection hidden="1"/>
    </xf>
    <xf numFmtId="8" fontId="0" fillId="14" borderId="1" xfId="0" applyNumberFormat="1" applyFill="1" applyBorder="1" applyAlignment="1" applyProtection="1">
      <alignment horizontal="right"/>
      <protection hidden="1"/>
    </xf>
    <xf numFmtId="10" fontId="1" fillId="5" borderId="1" xfId="10" applyNumberFormat="1" applyFont="1" applyFill="1" applyBorder="1" applyAlignment="1" applyProtection="1">
      <alignment horizontal="center"/>
      <protection hidden="1"/>
    </xf>
    <xf numFmtId="2" fontId="0" fillId="10" borderId="1" xfId="0" applyNumberFormat="1" applyFill="1" applyBorder="1" applyAlignment="1" applyProtection="1">
      <alignment horizontal="center"/>
      <protection hidden="1"/>
    </xf>
    <xf numFmtId="2" fontId="4" fillId="10" borderId="1" xfId="0" applyNumberFormat="1" applyFont="1" applyFill="1" applyBorder="1" applyProtection="1">
      <protection hidden="1"/>
    </xf>
    <xf numFmtId="168" fontId="4" fillId="0" borderId="1" xfId="3" applyNumberFormat="1" applyFont="1" applyFill="1" applyBorder="1" applyAlignment="1" applyProtection="1">
      <alignment horizontal="center"/>
      <protection hidden="1"/>
    </xf>
    <xf numFmtId="168" fontId="4" fillId="12" borderId="1" xfId="3" applyNumberFormat="1" applyFont="1" applyFill="1" applyBorder="1" applyAlignment="1" applyProtection="1">
      <alignment horizontal="center"/>
      <protection hidden="1"/>
    </xf>
    <xf numFmtId="169" fontId="0" fillId="0" borderId="1" xfId="0" applyNumberFormat="1" applyBorder="1" applyProtection="1">
      <protection hidden="1"/>
    </xf>
    <xf numFmtId="44" fontId="15" fillId="0" borderId="1" xfId="3" applyFont="1" applyFill="1" applyBorder="1" applyProtection="1">
      <protection hidden="1"/>
    </xf>
    <xf numFmtId="0" fontId="0" fillId="12" borderId="1" xfId="0" applyFill="1" applyBorder="1" applyProtection="1">
      <protection hidden="1"/>
    </xf>
    <xf numFmtId="0" fontId="2" fillId="12" borderId="1" xfId="0" applyFont="1" applyFill="1" applyBorder="1" applyAlignment="1" applyProtection="1">
      <alignment horizontal="center"/>
      <protection hidden="1"/>
    </xf>
    <xf numFmtId="44" fontId="0" fillId="10" borderId="1" xfId="0" applyNumberFormat="1" applyFill="1" applyBorder="1" applyAlignment="1" applyProtection="1">
      <alignment horizontal="center"/>
      <protection hidden="1"/>
    </xf>
    <xf numFmtId="0" fontId="4" fillId="10" borderId="0" xfId="0" applyFont="1" applyFill="1" applyAlignment="1" applyProtection="1">
      <alignment horizontal="right"/>
      <protection hidden="1"/>
    </xf>
    <xf numFmtId="44" fontId="0" fillId="10" borderId="28" xfId="0" applyNumberFormat="1" applyFill="1" applyBorder="1" applyProtection="1">
      <protection hidden="1"/>
    </xf>
    <xf numFmtId="0" fontId="50" fillId="0" borderId="0" xfId="0" applyFont="1" applyProtection="1">
      <protection hidden="1"/>
    </xf>
    <xf numFmtId="0" fontId="0" fillId="13" borderId="0" xfId="0" applyFill="1" applyProtection="1">
      <protection hidden="1"/>
    </xf>
    <xf numFmtId="0" fontId="9" fillId="0" borderId="0" xfId="0" applyFont="1" applyProtection="1">
      <protection hidden="1"/>
    </xf>
    <xf numFmtId="0" fontId="10" fillId="0" borderId="0" xfId="0" applyFont="1" applyProtection="1">
      <protection hidden="1"/>
    </xf>
    <xf numFmtId="0" fontId="10" fillId="0" borderId="0" xfId="0" applyFont="1" applyAlignment="1" applyProtection="1">
      <alignment horizontal="center"/>
      <protection hidden="1"/>
    </xf>
    <xf numFmtId="0" fontId="39" fillId="0" borderId="0" xfId="0" applyFont="1" applyAlignment="1" applyProtection="1">
      <alignment horizontal="center"/>
      <protection hidden="1"/>
    </xf>
    <xf numFmtId="0" fontId="4" fillId="13" borderId="1" xfId="0" applyFont="1" applyFill="1" applyBorder="1" applyAlignment="1" applyProtection="1">
      <alignment horizontal="center" vertical="center"/>
      <protection hidden="1"/>
    </xf>
    <xf numFmtId="0" fontId="0" fillId="13" borderId="8" xfId="0" applyFill="1" applyBorder="1" applyProtection="1">
      <protection hidden="1"/>
    </xf>
    <xf numFmtId="0" fontId="20" fillId="13" borderId="0" xfId="0" applyFont="1" applyFill="1" applyAlignment="1" applyProtection="1">
      <alignment horizontal="center"/>
      <protection hidden="1"/>
    </xf>
    <xf numFmtId="0" fontId="20" fillId="13" borderId="2" xfId="0" applyFont="1" applyFill="1" applyBorder="1" applyAlignment="1" applyProtection="1">
      <alignment horizontal="center"/>
      <protection hidden="1"/>
    </xf>
    <xf numFmtId="0" fontId="4" fillId="13" borderId="8" xfId="0" applyFont="1" applyFill="1" applyBorder="1" applyAlignment="1" applyProtection="1">
      <alignment horizontal="left"/>
      <protection hidden="1"/>
    </xf>
    <xf numFmtId="44" fontId="0" fillId="13" borderId="0" xfId="0" applyNumberFormat="1" applyFill="1" applyProtection="1">
      <protection hidden="1"/>
    </xf>
    <xf numFmtId="44" fontId="0" fillId="13" borderId="2" xfId="0" applyNumberFormat="1" applyFill="1" applyBorder="1" applyProtection="1">
      <protection hidden="1"/>
    </xf>
    <xf numFmtId="44" fontId="10" fillId="0" borderId="0" xfId="3" applyFont="1" applyFill="1" applyBorder="1" applyAlignment="1" applyProtection="1">
      <alignment horizontal="center"/>
      <protection hidden="1"/>
    </xf>
    <xf numFmtId="0" fontId="0" fillId="13" borderId="1" xfId="0" applyFill="1" applyBorder="1" applyAlignment="1" applyProtection="1">
      <alignment horizontal="center"/>
      <protection hidden="1"/>
    </xf>
    <xf numFmtId="0" fontId="4" fillId="7" borderId="1" xfId="0" applyFont="1" applyFill="1" applyBorder="1" applyAlignment="1" applyProtection="1">
      <alignment horizontal="center"/>
      <protection hidden="1"/>
    </xf>
    <xf numFmtId="44" fontId="11" fillId="7" borderId="0" xfId="3" applyFont="1" applyFill="1" applyProtection="1">
      <protection hidden="1"/>
    </xf>
    <xf numFmtId="0" fontId="9" fillId="0" borderId="0" xfId="0" applyFont="1" applyAlignment="1" applyProtection="1">
      <alignment horizontal="left"/>
      <protection hidden="1"/>
    </xf>
    <xf numFmtId="164" fontId="10" fillId="0" borderId="0" xfId="3" applyNumberFormat="1" applyFont="1" applyFill="1" applyBorder="1" applyProtection="1">
      <protection hidden="1"/>
    </xf>
    <xf numFmtId="0" fontId="10" fillId="0" borderId="0" xfId="0" applyFont="1" applyAlignment="1" applyProtection="1">
      <alignment horizontal="left"/>
      <protection hidden="1"/>
    </xf>
    <xf numFmtId="44" fontId="9" fillId="0" borderId="0" xfId="3" applyFont="1" applyFill="1" applyBorder="1" applyProtection="1">
      <protection hidden="1"/>
    </xf>
    <xf numFmtId="164" fontId="4" fillId="3" borderId="0" xfId="3" applyNumberFormat="1" applyFont="1" applyFill="1" applyBorder="1" applyAlignment="1" applyProtection="1">
      <alignment horizontal="center"/>
      <protection hidden="1"/>
    </xf>
    <xf numFmtId="44" fontId="10" fillId="0" borderId="0" xfId="3" applyFont="1" applyFill="1" applyBorder="1" applyProtection="1">
      <protection hidden="1"/>
    </xf>
    <xf numFmtId="164" fontId="2" fillId="3" borderId="0" xfId="3" applyNumberFormat="1" applyFont="1" applyFill="1" applyBorder="1" applyProtection="1">
      <protection hidden="1"/>
    </xf>
    <xf numFmtId="0" fontId="2" fillId="3" borderId="0" xfId="0" applyFont="1" applyFill="1" applyAlignment="1" applyProtection="1">
      <alignment horizontal="right"/>
      <protection hidden="1"/>
    </xf>
    <xf numFmtId="0" fontId="0" fillId="13" borderId="9" xfId="0" applyFill="1" applyBorder="1" applyProtection="1">
      <protection hidden="1"/>
    </xf>
    <xf numFmtId="44" fontId="0" fillId="13" borderId="12" xfId="0" applyNumberFormat="1" applyFill="1" applyBorder="1" applyProtection="1">
      <protection hidden="1"/>
    </xf>
    <xf numFmtId="44" fontId="0" fillId="13" borderId="4" xfId="0" applyNumberFormat="1" applyFill="1" applyBorder="1" applyProtection="1">
      <protection hidden="1"/>
    </xf>
    <xf numFmtId="44" fontId="0" fillId="0" borderId="1" xfId="3" applyFont="1" applyFill="1" applyBorder="1" applyAlignment="1" applyProtection="1">
      <alignment horizontal="center"/>
      <protection hidden="1"/>
    </xf>
    <xf numFmtId="0" fontId="0" fillId="0" borderId="18" xfId="0" applyBorder="1" applyAlignment="1" applyProtection="1">
      <alignment horizontal="center" vertical="center"/>
      <protection hidden="1"/>
    </xf>
    <xf numFmtId="164" fontId="4" fillId="3" borderId="5" xfId="3" applyNumberFormat="1" applyFont="1" applyFill="1" applyBorder="1" applyProtection="1">
      <protection hidden="1"/>
    </xf>
    <xf numFmtId="0" fontId="4" fillId="3" borderId="6" xfId="0" applyFont="1" applyFill="1" applyBorder="1" applyProtection="1">
      <protection hidden="1"/>
    </xf>
    <xf numFmtId="0" fontId="0" fillId="3" borderId="6" xfId="0" applyFill="1" applyBorder="1" applyProtection="1">
      <protection hidden="1"/>
    </xf>
    <xf numFmtId="0" fontId="0" fillId="3" borderId="7" xfId="0" applyFill="1" applyBorder="1" applyProtection="1">
      <protection hidden="1"/>
    </xf>
    <xf numFmtId="0" fontId="2" fillId="0" borderId="0" xfId="0" applyFont="1" applyAlignment="1" applyProtection="1">
      <alignment horizontal="center" vertical="center"/>
      <protection hidden="1"/>
    </xf>
    <xf numFmtId="164" fontId="1" fillId="3" borderId="8" xfId="3" applyNumberFormat="1" applyFont="1" applyFill="1" applyBorder="1" applyProtection="1">
      <protection hidden="1"/>
    </xf>
    <xf numFmtId="0" fontId="0" fillId="3" borderId="2" xfId="0" applyFill="1" applyBorder="1" applyProtection="1">
      <protection hidden="1"/>
    </xf>
    <xf numFmtId="0" fontId="20" fillId="0" borderId="0" xfId="0" applyFont="1" applyAlignment="1" applyProtection="1">
      <alignment horizontal="left"/>
      <protection hidden="1"/>
    </xf>
    <xf numFmtId="0" fontId="5" fillId="0" borderId="0" xfId="0" applyFont="1" applyAlignment="1" applyProtection="1">
      <alignment horizontal="left"/>
      <protection hidden="1"/>
    </xf>
    <xf numFmtId="1" fontId="1" fillId="3" borderId="8" xfId="3" applyNumberFormat="1" applyFont="1" applyFill="1" applyBorder="1" applyAlignment="1" applyProtection="1">
      <alignment horizontal="center"/>
      <protection hidden="1"/>
    </xf>
    <xf numFmtId="9" fontId="4" fillId="3" borderId="0" xfId="0" applyNumberFormat="1" applyFont="1" applyFill="1" applyAlignment="1" applyProtection="1">
      <alignment horizontal="center"/>
      <protection hidden="1"/>
    </xf>
    <xf numFmtId="10" fontId="2" fillId="0" borderId="1" xfId="10" applyNumberFormat="1" applyFont="1" applyBorder="1" applyAlignment="1" applyProtection="1">
      <alignment horizontal="center"/>
      <protection hidden="1"/>
    </xf>
    <xf numFmtId="1" fontId="4" fillId="3" borderId="0" xfId="0" applyNumberFormat="1" applyFont="1" applyFill="1" applyAlignment="1" applyProtection="1">
      <alignment horizontal="center"/>
      <protection hidden="1"/>
    </xf>
    <xf numFmtId="164" fontId="1" fillId="3" borderId="9" xfId="3" applyNumberFormat="1" applyFont="1" applyFill="1" applyBorder="1" applyProtection="1">
      <protection hidden="1"/>
    </xf>
    <xf numFmtId="0" fontId="0" fillId="3" borderId="10" xfId="0" applyFill="1" applyBorder="1" applyProtection="1">
      <protection hidden="1"/>
    </xf>
    <xf numFmtId="0" fontId="0" fillId="3" borderId="11" xfId="0" applyFill="1" applyBorder="1" applyProtection="1">
      <protection hidden="1"/>
    </xf>
    <xf numFmtId="164" fontId="4" fillId="3" borderId="0" xfId="3" applyNumberFormat="1" applyFont="1" applyFill="1" applyProtection="1">
      <protection hidden="1"/>
    </xf>
    <xf numFmtId="44" fontId="0" fillId="0" borderId="1" xfId="0" applyNumberFormat="1" applyBorder="1" applyAlignment="1" applyProtection="1">
      <alignment horizontal="center"/>
      <protection hidden="1"/>
    </xf>
    <xf numFmtId="0" fontId="20" fillId="3" borderId="5" xfId="0" applyFont="1" applyFill="1" applyBorder="1" applyProtection="1">
      <protection hidden="1"/>
    </xf>
    <xf numFmtId="0" fontId="4" fillId="3" borderId="7" xfId="0" applyFont="1" applyFill="1" applyBorder="1" applyProtection="1">
      <protection hidden="1"/>
    </xf>
    <xf numFmtId="0" fontId="0" fillId="0" borderId="9" xfId="0" applyBorder="1" applyProtection="1">
      <protection hidden="1"/>
    </xf>
    <xf numFmtId="0" fontId="0" fillId="0" borderId="10" xfId="0" applyBorder="1" applyProtection="1">
      <protection hidden="1"/>
    </xf>
    <xf numFmtId="44" fontId="0" fillId="0" borderId="10" xfId="3" applyFont="1" applyBorder="1" applyProtection="1">
      <protection hidden="1"/>
    </xf>
    <xf numFmtId="0" fontId="4" fillId="3" borderId="10" xfId="0" applyFont="1" applyFill="1" applyBorder="1" applyProtection="1">
      <protection hidden="1"/>
    </xf>
    <xf numFmtId="0" fontId="4" fillId="3" borderId="11" xfId="0" applyFont="1" applyFill="1" applyBorder="1" applyProtection="1">
      <protection hidden="1"/>
    </xf>
    <xf numFmtId="44" fontId="4" fillId="3" borderId="1" xfId="3" applyFont="1" applyFill="1" applyBorder="1" applyProtection="1">
      <protection hidden="1"/>
    </xf>
    <xf numFmtId="164" fontId="1" fillId="8" borderId="8" xfId="3" applyNumberFormat="1" applyFont="1" applyFill="1" applyBorder="1" applyProtection="1">
      <protection hidden="1"/>
    </xf>
    <xf numFmtId="0" fontId="4" fillId="8" borderId="0" xfId="0" applyFont="1" applyFill="1" applyAlignment="1" applyProtection="1">
      <alignment horizontal="center"/>
      <protection hidden="1"/>
    </xf>
    <xf numFmtId="0" fontId="0" fillId="8" borderId="2" xfId="0" applyFill="1" applyBorder="1" applyProtection="1">
      <protection hidden="1"/>
    </xf>
    <xf numFmtId="166" fontId="2" fillId="0" borderId="1" xfId="3" applyNumberFormat="1" applyFont="1" applyBorder="1" applyAlignment="1" applyProtection="1">
      <alignment horizontal="center"/>
      <protection hidden="1"/>
    </xf>
    <xf numFmtId="0" fontId="34" fillId="0" borderId="24" xfId="0" applyFont="1" applyBorder="1" applyAlignment="1" applyProtection="1">
      <alignment horizontal="center"/>
      <protection hidden="1"/>
    </xf>
    <xf numFmtId="0" fontId="0" fillId="0" borderId="0" xfId="0" applyAlignment="1" applyProtection="1">
      <alignment vertical="center"/>
      <protection hidden="1"/>
    </xf>
    <xf numFmtId="1" fontId="1" fillId="8" borderId="8" xfId="3" applyNumberFormat="1" applyFont="1" applyFill="1" applyBorder="1" applyAlignment="1" applyProtection="1">
      <alignment horizontal="center"/>
      <protection hidden="1"/>
    </xf>
    <xf numFmtId="1" fontId="4" fillId="8" borderId="0" xfId="0" applyNumberFormat="1" applyFont="1" applyFill="1" applyAlignment="1" applyProtection="1">
      <alignment horizontal="center"/>
      <protection hidden="1"/>
    </xf>
    <xf numFmtId="9" fontId="4" fillId="8" borderId="0" xfId="0" applyNumberFormat="1" applyFont="1" applyFill="1" applyAlignment="1" applyProtection="1">
      <alignment horizontal="center"/>
      <protection hidden="1"/>
    </xf>
    <xf numFmtId="0" fontId="33" fillId="0" borderId="0" xfId="0" applyFont="1" applyAlignment="1" applyProtection="1">
      <alignment vertical="center"/>
      <protection hidden="1"/>
    </xf>
    <xf numFmtId="164" fontId="1" fillId="8" borderId="9" xfId="3" applyNumberFormat="1" applyFont="1" applyFill="1" applyBorder="1" applyProtection="1">
      <protection hidden="1"/>
    </xf>
    <xf numFmtId="0" fontId="0" fillId="8" borderId="10" xfId="0" applyFill="1" applyBorder="1" applyAlignment="1" applyProtection="1">
      <alignment horizontal="center"/>
      <protection hidden="1"/>
    </xf>
    <xf numFmtId="0" fontId="4" fillId="8" borderId="10" xfId="0" applyFont="1" applyFill="1" applyBorder="1" applyAlignment="1" applyProtection="1">
      <alignment horizontal="center"/>
      <protection hidden="1"/>
    </xf>
    <xf numFmtId="44" fontId="0" fillId="0" borderId="0" xfId="3" applyFont="1" applyFill="1" applyProtection="1">
      <protection hidden="1"/>
    </xf>
    <xf numFmtId="44" fontId="23" fillId="0" borderId="0" xfId="3" applyFont="1" applyFill="1" applyProtection="1">
      <protection hidden="1"/>
    </xf>
    <xf numFmtId="0" fontId="1" fillId="8" borderId="8" xfId="0" applyFont="1" applyFill="1" applyBorder="1" applyProtection="1">
      <protection hidden="1"/>
    </xf>
    <xf numFmtId="0" fontId="1" fillId="8" borderId="8" xfId="0" applyFont="1" applyFill="1" applyBorder="1" applyAlignment="1" applyProtection="1">
      <alignment horizontal="center"/>
      <protection hidden="1"/>
    </xf>
    <xf numFmtId="9" fontId="0" fillId="8" borderId="0" xfId="0" applyNumberFormat="1" applyFill="1" applyAlignment="1" applyProtection="1">
      <alignment horizontal="center"/>
      <protection hidden="1"/>
    </xf>
    <xf numFmtId="0" fontId="1" fillId="8" borderId="9" xfId="0" applyFont="1" applyFill="1" applyBorder="1" applyProtection="1">
      <protection hidden="1"/>
    </xf>
    <xf numFmtId="0" fontId="20" fillId="8" borderId="0" xfId="0" applyFont="1" applyFill="1" applyAlignment="1" applyProtection="1">
      <alignment horizontal="center"/>
      <protection hidden="1"/>
    </xf>
    <xf numFmtId="0" fontId="0" fillId="8" borderId="0" xfId="0" applyFill="1" applyAlignment="1" applyProtection="1">
      <alignment horizontal="left"/>
      <protection hidden="1"/>
    </xf>
    <xf numFmtId="0" fontId="4" fillId="8" borderId="2" xfId="0" applyFont="1" applyFill="1" applyBorder="1" applyProtection="1">
      <protection hidden="1"/>
    </xf>
    <xf numFmtId="164" fontId="1" fillId="3" borderId="0" xfId="3" applyNumberFormat="1" applyFont="1" applyFill="1" applyBorder="1" applyProtection="1">
      <protection hidden="1"/>
    </xf>
    <xf numFmtId="164" fontId="4" fillId="8" borderId="8" xfId="3" applyNumberFormat="1" applyFont="1" applyFill="1" applyBorder="1" applyProtection="1">
      <protection hidden="1"/>
    </xf>
    <xf numFmtId="0" fontId="0" fillId="8" borderId="2" xfId="0" applyFill="1" applyBorder="1" applyAlignment="1" applyProtection="1">
      <alignment horizontal="left"/>
      <protection hidden="1"/>
    </xf>
    <xf numFmtId="164" fontId="19" fillId="8" borderId="8" xfId="3" applyNumberFormat="1" applyFont="1" applyFill="1" applyBorder="1" applyAlignment="1" applyProtection="1">
      <alignment horizontal="left"/>
      <protection hidden="1"/>
    </xf>
    <xf numFmtId="0" fontId="20" fillId="8" borderId="0" xfId="0" applyFont="1" applyFill="1" applyProtection="1">
      <protection hidden="1"/>
    </xf>
    <xf numFmtId="166" fontId="0" fillId="8" borderId="8" xfId="0" applyNumberFormat="1" applyFill="1" applyBorder="1" applyAlignment="1" applyProtection="1">
      <alignment horizontal="center"/>
      <protection hidden="1"/>
    </xf>
    <xf numFmtId="166" fontId="0" fillId="8" borderId="0" xfId="0" applyNumberFormat="1" applyFill="1" applyProtection="1">
      <protection hidden="1"/>
    </xf>
    <xf numFmtId="44" fontId="2" fillId="0" borderId="0" xfId="3" applyFont="1" applyBorder="1" applyProtection="1">
      <protection hidden="1"/>
    </xf>
    <xf numFmtId="44" fontId="2" fillId="0" borderId="0" xfId="3" applyFont="1" applyBorder="1" applyAlignment="1" applyProtection="1">
      <alignment horizontal="center"/>
      <protection hidden="1"/>
    </xf>
    <xf numFmtId="166" fontId="0" fillId="9" borderId="0" xfId="0" applyNumberFormat="1" applyFill="1" applyProtection="1">
      <protection hidden="1"/>
    </xf>
    <xf numFmtId="168" fontId="0" fillId="0" borderId="0" xfId="3" applyNumberFormat="1" applyFont="1" applyFill="1" applyBorder="1" applyAlignment="1" applyProtection="1">
      <alignment horizontal="center"/>
      <protection hidden="1"/>
    </xf>
    <xf numFmtId="168" fontId="4" fillId="0" borderId="0" xfId="3" applyNumberFormat="1" applyFont="1" applyFill="1" applyBorder="1" applyAlignment="1" applyProtection="1">
      <alignment horizontal="left"/>
      <protection hidden="1"/>
    </xf>
    <xf numFmtId="0" fontId="20" fillId="8" borderId="13" xfId="0" applyFont="1" applyFill="1" applyBorder="1" applyProtection="1">
      <protection hidden="1"/>
    </xf>
    <xf numFmtId="0" fontId="0" fillId="8" borderId="19" xfId="0" applyFill="1" applyBorder="1" applyProtection="1">
      <protection hidden="1"/>
    </xf>
    <xf numFmtId="0" fontId="4" fillId="8" borderId="15" xfId="0" applyFont="1" applyFill="1" applyBorder="1" applyProtection="1">
      <protection hidden="1"/>
    </xf>
    <xf numFmtId="0" fontId="0" fillId="8" borderId="20" xfId="0" applyFill="1" applyBorder="1" applyProtection="1">
      <protection hidden="1"/>
    </xf>
    <xf numFmtId="0" fontId="4" fillId="8" borderId="16" xfId="0" applyFont="1" applyFill="1" applyBorder="1" applyProtection="1">
      <protection hidden="1"/>
    </xf>
    <xf numFmtId="0" fontId="0" fillId="8" borderId="21" xfId="0" applyFill="1" applyBorder="1" applyProtection="1">
      <protection hidden="1"/>
    </xf>
    <xf numFmtId="44" fontId="0" fillId="0" borderId="0" xfId="3" applyFont="1" applyFill="1" applyBorder="1" applyProtection="1">
      <protection hidden="1"/>
    </xf>
    <xf numFmtId="0" fontId="4" fillId="9" borderId="3" xfId="0" applyFont="1" applyFill="1" applyBorder="1" applyProtection="1">
      <protection hidden="1"/>
    </xf>
    <xf numFmtId="0" fontId="0" fillId="9" borderId="12" xfId="0" applyFill="1" applyBorder="1" applyProtection="1">
      <protection hidden="1"/>
    </xf>
    <xf numFmtId="10" fontId="37" fillId="9" borderId="4" xfId="10" applyNumberFormat="1" applyFont="1" applyFill="1" applyBorder="1" applyProtection="1">
      <protection hidden="1"/>
    </xf>
    <xf numFmtId="14" fontId="0" fillId="9" borderId="4" xfId="0" applyNumberFormat="1" applyFill="1" applyBorder="1" applyProtection="1">
      <protection hidden="1"/>
    </xf>
    <xf numFmtId="44" fontId="11" fillId="0" borderId="0" xfId="3" applyFont="1" applyFill="1" applyProtection="1">
      <protection hidden="1"/>
    </xf>
    <xf numFmtId="44" fontId="1" fillId="0" borderId="0" xfId="3" applyFont="1" applyFill="1" applyBorder="1" applyProtection="1">
      <protection hidden="1"/>
    </xf>
    <xf numFmtId="44" fontId="1" fillId="0" borderId="0" xfId="3" applyFont="1" applyFill="1" applyProtection="1">
      <protection hidden="1"/>
    </xf>
    <xf numFmtId="44" fontId="4" fillId="0" borderId="0" xfId="3" applyFont="1" applyFill="1" applyProtection="1">
      <protection hidden="1"/>
    </xf>
    <xf numFmtId="164" fontId="1" fillId="4" borderId="0" xfId="3" applyNumberFormat="1" applyFont="1" applyFill="1" applyProtection="1">
      <protection hidden="1"/>
    </xf>
    <xf numFmtId="44" fontId="4" fillId="5" borderId="1" xfId="3" applyFont="1" applyFill="1" applyBorder="1" applyProtection="1">
      <protection locked="0" hidden="1"/>
    </xf>
    <xf numFmtId="44" fontId="0" fillId="5" borderId="1" xfId="3" applyFont="1" applyFill="1" applyBorder="1" applyProtection="1">
      <protection locked="0" hidden="1"/>
    </xf>
    <xf numFmtId="0" fontId="51" fillId="0" borderId="0" xfId="0" applyFont="1" applyAlignment="1" applyProtection="1">
      <alignment horizontal="left"/>
      <protection hidden="1"/>
    </xf>
    <xf numFmtId="0" fontId="5" fillId="16" borderId="0" xfId="0" applyFont="1" applyFill="1"/>
    <xf numFmtId="10" fontId="4" fillId="6" borderId="0" xfId="0" applyNumberFormat="1" applyFont="1" applyFill="1" applyAlignment="1" applyProtection="1">
      <alignment horizontal="center"/>
      <protection hidden="1"/>
    </xf>
    <xf numFmtId="0" fontId="2" fillId="16" borderId="0" xfId="0" applyFont="1" applyFill="1"/>
    <xf numFmtId="43" fontId="0" fillId="16" borderId="0" xfId="0" applyNumberFormat="1" applyFill="1" applyProtection="1">
      <protection hidden="1"/>
    </xf>
    <xf numFmtId="0" fontId="1" fillId="17" borderId="0" xfId="0" applyFont="1" applyFill="1" applyAlignment="1">
      <alignment horizontal="left"/>
    </xf>
    <xf numFmtId="0" fontId="1" fillId="17" borderId="0" xfId="0" applyFont="1" applyFill="1"/>
    <xf numFmtId="0" fontId="5" fillId="18" borderId="5" xfId="0" applyFont="1" applyFill="1" applyBorder="1"/>
    <xf numFmtId="0" fontId="5" fillId="18" borderId="6" xfId="0" applyFont="1" applyFill="1" applyBorder="1" applyAlignment="1">
      <alignment horizontal="left"/>
    </xf>
    <xf numFmtId="0" fontId="1" fillId="18" borderId="6" xfId="0" applyFont="1" applyFill="1" applyBorder="1"/>
    <xf numFmtId="0" fontId="5" fillId="18" borderId="6" xfId="0" applyFont="1" applyFill="1" applyBorder="1"/>
    <xf numFmtId="0" fontId="5" fillId="18" borderId="7" xfId="0" applyFont="1" applyFill="1" applyBorder="1"/>
    <xf numFmtId="0" fontId="1" fillId="18" borderId="8" xfId="0" applyFont="1" applyFill="1" applyBorder="1"/>
    <xf numFmtId="9" fontId="1" fillId="18" borderId="0" xfId="10" applyFont="1" applyFill="1" applyBorder="1" applyAlignment="1">
      <alignment horizontal="center"/>
    </xf>
    <xf numFmtId="0" fontId="1" fillId="18" borderId="0" xfId="0" applyFont="1" applyFill="1"/>
    <xf numFmtId="9" fontId="1" fillId="18" borderId="2" xfId="10" applyFont="1" applyFill="1" applyBorder="1" applyAlignment="1">
      <alignment horizontal="center"/>
    </xf>
    <xf numFmtId="0" fontId="20" fillId="18" borderId="0" xfId="0" applyFont="1" applyFill="1"/>
    <xf numFmtId="0" fontId="1" fillId="18" borderId="9" xfId="0" applyFont="1" applyFill="1" applyBorder="1"/>
    <xf numFmtId="9" fontId="1" fillId="18" borderId="10" xfId="10" applyFont="1" applyFill="1" applyBorder="1" applyAlignment="1">
      <alignment horizontal="center"/>
    </xf>
    <xf numFmtId="0" fontId="1" fillId="18" borderId="10" xfId="0" applyFont="1" applyFill="1" applyBorder="1"/>
    <xf numFmtId="9" fontId="1" fillId="18" borderId="11" xfId="10" applyFont="1" applyFill="1" applyBorder="1" applyAlignment="1">
      <alignment horizontal="center"/>
    </xf>
    <xf numFmtId="0" fontId="1" fillId="0" borderId="0" xfId="0" applyFont="1"/>
    <xf numFmtId="0" fontId="2" fillId="0" borderId="3" xfId="0" applyFont="1" applyBorder="1" applyAlignment="1" applyProtection="1">
      <alignment horizontal="center"/>
      <protection hidden="1"/>
    </xf>
    <xf numFmtId="0" fontId="2" fillId="0" borderId="12" xfId="0" applyFont="1" applyBorder="1" applyAlignment="1" applyProtection="1">
      <alignment horizontal="center"/>
      <protection hidden="1"/>
    </xf>
    <xf numFmtId="0" fontId="2" fillId="0" borderId="4" xfId="0" applyFont="1" applyBorder="1" applyAlignment="1" applyProtection="1">
      <alignment horizontal="center"/>
      <protection hidden="1"/>
    </xf>
    <xf numFmtId="168" fontId="4" fillId="2" borderId="3" xfId="3" applyNumberFormat="1" applyFont="1" applyFill="1" applyBorder="1" applyAlignment="1" applyProtection="1">
      <alignment horizontal="center"/>
      <protection locked="0"/>
    </xf>
    <xf numFmtId="168" fontId="4" fillId="2" borderId="12" xfId="3" applyNumberFormat="1" applyFont="1" applyFill="1" applyBorder="1" applyAlignment="1" applyProtection="1">
      <alignment horizontal="center"/>
      <protection locked="0"/>
    </xf>
    <xf numFmtId="168" fontId="4" fillId="2" borderId="4" xfId="3" applyNumberFormat="1" applyFont="1" applyFill="1" applyBorder="1" applyAlignment="1" applyProtection="1">
      <alignment horizontal="center"/>
      <protection locked="0"/>
    </xf>
    <xf numFmtId="0" fontId="4" fillId="5" borderId="3" xfId="0" applyFont="1" applyFill="1" applyBorder="1" applyAlignment="1" applyProtection="1">
      <alignment horizontal="center"/>
      <protection locked="0"/>
    </xf>
    <xf numFmtId="0" fontId="4" fillId="5" borderId="4" xfId="0" applyFont="1" applyFill="1" applyBorder="1" applyAlignment="1" applyProtection="1">
      <alignment horizontal="center"/>
      <protection locked="0"/>
    </xf>
    <xf numFmtId="0" fontId="4" fillId="3" borderId="5" xfId="0" applyFont="1" applyFill="1" applyBorder="1" applyAlignment="1" applyProtection="1">
      <alignment horizontal="center" vertical="top" wrapText="1"/>
      <protection hidden="1"/>
    </xf>
    <xf numFmtId="0" fontId="4" fillId="3" borderId="7" xfId="0" applyFont="1" applyFill="1" applyBorder="1" applyAlignment="1" applyProtection="1">
      <alignment horizontal="center" vertical="top" wrapText="1"/>
      <protection hidden="1"/>
    </xf>
    <xf numFmtId="0" fontId="4" fillId="3" borderId="8" xfId="0" applyFont="1" applyFill="1" applyBorder="1" applyAlignment="1" applyProtection="1">
      <alignment horizontal="center" vertical="top" wrapText="1"/>
      <protection hidden="1"/>
    </xf>
    <xf numFmtId="0" fontId="4" fillId="3" borderId="2" xfId="0" applyFont="1" applyFill="1" applyBorder="1" applyAlignment="1" applyProtection="1">
      <alignment horizontal="center" vertical="top" wrapText="1"/>
      <protection hidden="1"/>
    </xf>
    <xf numFmtId="0" fontId="4" fillId="3" borderId="9" xfId="0" applyFont="1" applyFill="1" applyBorder="1" applyAlignment="1" applyProtection="1">
      <alignment horizontal="center" vertical="top" wrapText="1"/>
      <protection hidden="1"/>
    </xf>
    <xf numFmtId="0" fontId="4" fillId="3" borderId="11" xfId="0" applyFont="1" applyFill="1" applyBorder="1" applyAlignment="1" applyProtection="1">
      <alignment horizontal="center" vertical="top" wrapText="1"/>
      <protection hidden="1"/>
    </xf>
    <xf numFmtId="0" fontId="0" fillId="5" borderId="3" xfId="0" applyFill="1" applyBorder="1" applyAlignment="1" applyProtection="1">
      <alignment horizontal="center"/>
      <protection locked="0"/>
    </xf>
    <xf numFmtId="0" fontId="0" fillId="5" borderId="12"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4" fillId="3"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protection hidden="1"/>
    </xf>
    <xf numFmtId="0" fontId="2" fillId="0" borderId="0" xfId="0" applyFont="1" applyAlignment="1" applyProtection="1">
      <alignment horizontal="center"/>
      <protection hidden="1"/>
    </xf>
    <xf numFmtId="0" fontId="1" fillId="0" borderId="18" xfId="0" applyFont="1" applyBorder="1" applyAlignment="1" applyProtection="1">
      <alignment horizontal="center" wrapText="1"/>
      <protection hidden="1"/>
    </xf>
    <xf numFmtId="0" fontId="1" fillId="0" borderId="23" xfId="0" applyFont="1" applyBorder="1" applyAlignment="1" applyProtection="1">
      <alignment horizontal="center" wrapText="1"/>
      <protection hidden="1"/>
    </xf>
    <xf numFmtId="0" fontId="5" fillId="13" borderId="0" xfId="0" applyFont="1" applyFill="1" applyAlignment="1" applyProtection="1">
      <alignment horizontal="center"/>
      <protection hidden="1"/>
    </xf>
    <xf numFmtId="0" fontId="5" fillId="13" borderId="5" xfId="0" applyFont="1" applyFill="1" applyBorder="1" applyAlignment="1" applyProtection="1">
      <alignment horizontal="center"/>
      <protection hidden="1"/>
    </xf>
    <xf numFmtId="0" fontId="5" fillId="13" borderId="6" xfId="0" applyFont="1" applyFill="1" applyBorder="1" applyAlignment="1" applyProtection="1">
      <alignment horizontal="center"/>
      <protection hidden="1"/>
    </xf>
    <xf numFmtId="0" fontId="5" fillId="13" borderId="7" xfId="0" applyFont="1" applyFill="1" applyBorder="1" applyAlignment="1" applyProtection="1">
      <alignment horizontal="center"/>
      <protection hidden="1"/>
    </xf>
    <xf numFmtId="0" fontId="4" fillId="0" borderId="5"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34" fillId="0" borderId="26" xfId="0" applyFont="1" applyBorder="1" applyAlignment="1" applyProtection="1">
      <alignment horizontal="center" vertical="center"/>
      <protection hidden="1"/>
    </xf>
    <xf numFmtId="0" fontId="34" fillId="0" borderId="27" xfId="0" applyFont="1" applyBorder="1" applyAlignment="1" applyProtection="1">
      <alignment horizontal="center" vertical="center"/>
      <protection hidden="1"/>
    </xf>
    <xf numFmtId="0" fontId="4" fillId="5" borderId="5" xfId="0" applyFont="1" applyFill="1" applyBorder="1" applyAlignment="1" applyProtection="1">
      <alignment horizontal="center"/>
      <protection locked="0"/>
    </xf>
    <xf numFmtId="0" fontId="4" fillId="5" borderId="6" xfId="0" applyFont="1" applyFill="1" applyBorder="1" applyAlignment="1" applyProtection="1">
      <alignment horizontal="center"/>
      <protection locked="0"/>
    </xf>
    <xf numFmtId="0" fontId="4" fillId="5" borderId="7" xfId="0" applyFont="1" applyFill="1" applyBorder="1" applyAlignment="1" applyProtection="1">
      <alignment horizontal="center"/>
      <protection locked="0"/>
    </xf>
    <xf numFmtId="0" fontId="4" fillId="5" borderId="9" xfId="0" applyFont="1" applyFill="1" applyBorder="1" applyAlignment="1" applyProtection="1">
      <alignment horizontal="center"/>
      <protection locked="0"/>
    </xf>
    <xf numFmtId="0" fontId="4" fillId="5" borderId="10" xfId="0" applyFont="1" applyFill="1" applyBorder="1" applyAlignment="1" applyProtection="1">
      <alignment horizontal="center"/>
      <protection locked="0"/>
    </xf>
    <xf numFmtId="0" fontId="4" fillId="5" borderId="11" xfId="0" applyFont="1" applyFill="1" applyBorder="1" applyAlignment="1" applyProtection="1">
      <alignment horizontal="center"/>
      <protection locked="0"/>
    </xf>
    <xf numFmtId="0" fontId="4" fillId="13" borderId="1" xfId="0" applyFont="1" applyFill="1" applyBorder="1" applyAlignment="1" applyProtection="1">
      <alignment horizontal="center" vertical="center" wrapText="1"/>
      <protection hidden="1"/>
    </xf>
    <xf numFmtId="0" fontId="2" fillId="13" borderId="3" xfId="0" applyFont="1" applyFill="1" applyBorder="1" applyAlignment="1" applyProtection="1">
      <alignment horizontal="center" vertical="center"/>
      <protection hidden="1"/>
    </xf>
    <xf numFmtId="0" fontId="2" fillId="13" borderId="12" xfId="0" applyFont="1" applyFill="1" applyBorder="1" applyAlignment="1" applyProtection="1">
      <alignment horizontal="center" vertical="center"/>
      <protection hidden="1"/>
    </xf>
    <xf numFmtId="0" fontId="2" fillId="13" borderId="4" xfId="0" applyFont="1" applyFill="1" applyBorder="1" applyAlignment="1" applyProtection="1">
      <alignment horizontal="center" vertical="center"/>
      <protection hidden="1"/>
    </xf>
    <xf numFmtId="0" fontId="4" fillId="13" borderId="3" xfId="0" applyFont="1" applyFill="1" applyBorder="1" applyAlignment="1" applyProtection="1">
      <alignment horizontal="center" vertical="center" wrapText="1"/>
      <protection hidden="1"/>
    </xf>
    <xf numFmtId="0" fontId="4" fillId="13" borderId="12" xfId="0" applyFont="1" applyFill="1" applyBorder="1" applyAlignment="1" applyProtection="1">
      <alignment horizontal="center" vertical="center" wrapText="1"/>
      <protection hidden="1"/>
    </xf>
    <xf numFmtId="0" fontId="4" fillId="13" borderId="4" xfId="0" applyFont="1" applyFill="1" applyBorder="1" applyAlignment="1" applyProtection="1">
      <alignment horizontal="center" vertical="center" wrapText="1"/>
      <protection hidden="1"/>
    </xf>
    <xf numFmtId="0" fontId="4" fillId="13" borderId="5" xfId="0" applyFont="1" applyFill="1" applyBorder="1" applyAlignment="1" applyProtection="1">
      <alignment horizontal="center" vertical="center"/>
      <protection hidden="1"/>
    </xf>
    <xf numFmtId="0" fontId="0" fillId="13" borderId="6" xfId="0" applyFill="1" applyBorder="1" applyAlignment="1" applyProtection="1">
      <alignment horizontal="center" vertical="center"/>
      <protection hidden="1"/>
    </xf>
    <xf numFmtId="0" fontId="0" fillId="13" borderId="7" xfId="0" applyFill="1" applyBorder="1" applyAlignment="1" applyProtection="1">
      <alignment horizontal="center" vertical="center"/>
      <protection hidden="1"/>
    </xf>
    <xf numFmtId="0" fontId="0" fillId="13" borderId="9" xfId="0" applyFill="1" applyBorder="1" applyAlignment="1" applyProtection="1">
      <alignment horizontal="center" vertical="center"/>
      <protection hidden="1"/>
    </xf>
    <xf numFmtId="0" fontId="0" fillId="13" borderId="10" xfId="0" applyFill="1" applyBorder="1" applyAlignment="1" applyProtection="1">
      <alignment horizontal="center" vertical="center"/>
      <protection hidden="1"/>
    </xf>
    <xf numFmtId="0" fontId="0" fillId="13" borderId="11" xfId="0" applyFill="1" applyBorder="1" applyAlignment="1" applyProtection="1">
      <alignment horizontal="center" vertical="center"/>
      <protection hidden="1"/>
    </xf>
    <xf numFmtId="0" fontId="0" fillId="13" borderId="1" xfId="0" applyFill="1" applyBorder="1" applyAlignment="1" applyProtection="1">
      <alignment horizontal="center" vertical="center"/>
      <protection hidden="1"/>
    </xf>
    <xf numFmtId="166" fontId="0" fillId="0" borderId="18" xfId="0" applyNumberFormat="1" applyBorder="1" applyAlignment="1" applyProtection="1">
      <alignment horizontal="center" vertical="center"/>
      <protection hidden="1"/>
    </xf>
    <xf numFmtId="166" fontId="0" fillId="0" borderId="23" xfId="0" applyNumberFormat="1" applyBorder="1" applyAlignment="1" applyProtection="1">
      <alignment horizontal="center" vertical="center"/>
      <protection hidden="1"/>
    </xf>
    <xf numFmtId="0" fontId="2" fillId="11" borderId="5" xfId="0" applyFont="1" applyFill="1" applyBorder="1" applyAlignment="1" applyProtection="1">
      <alignment horizontal="center" vertical="center" wrapText="1"/>
      <protection hidden="1"/>
    </xf>
    <xf numFmtId="0" fontId="2" fillId="11" borderId="7"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2" fillId="11" borderId="11" xfId="0" applyFont="1" applyFill="1" applyBorder="1" applyAlignment="1" applyProtection="1">
      <alignment horizontal="center" vertical="center" wrapText="1"/>
      <protection hidden="1"/>
    </xf>
    <xf numFmtId="0" fontId="4" fillId="10" borderId="10" xfId="0" applyFont="1" applyFill="1" applyBorder="1" applyAlignment="1" applyProtection="1">
      <alignment horizontal="center"/>
      <protection hidden="1"/>
    </xf>
    <xf numFmtId="0" fontId="1" fillId="13" borderId="1" xfId="0" applyFont="1" applyFill="1" applyBorder="1" applyAlignment="1" applyProtection="1">
      <alignment horizontal="center" vertical="center" wrapText="1"/>
      <protection hidden="1"/>
    </xf>
    <xf numFmtId="0" fontId="20" fillId="10" borderId="0" xfId="0" applyFont="1" applyFill="1" applyAlignment="1" applyProtection="1">
      <alignment horizontal="center"/>
      <protection hidden="1"/>
    </xf>
    <xf numFmtId="0" fontId="0" fillId="0" borderId="3" xfId="0" applyBorder="1" applyAlignment="1" applyProtection="1">
      <alignment horizontal="center"/>
      <protection hidden="1"/>
    </xf>
    <xf numFmtId="0" fontId="0" fillId="0" borderId="4" xfId="0" applyBorder="1" applyAlignment="1" applyProtection="1">
      <alignment horizontal="center"/>
      <protection hidden="1"/>
    </xf>
    <xf numFmtId="44" fontId="22" fillId="7" borderId="1" xfId="3" applyFont="1" applyFill="1" applyBorder="1" applyAlignment="1" applyProtection="1">
      <alignment horizontal="center" vertical="center"/>
      <protection hidden="1"/>
    </xf>
    <xf numFmtId="44" fontId="21" fillId="7" borderId="1" xfId="3" applyFont="1" applyFill="1" applyBorder="1" applyAlignment="1" applyProtection="1">
      <alignment horizontal="center" vertical="center"/>
      <protection hidden="1"/>
    </xf>
    <xf numFmtId="0" fontId="2" fillId="13" borderId="5" xfId="0" applyFont="1" applyFill="1" applyBorder="1" applyAlignment="1" applyProtection="1">
      <alignment horizontal="center" vertical="center" wrapText="1"/>
      <protection hidden="1"/>
    </xf>
    <xf numFmtId="0" fontId="2" fillId="13" borderId="6" xfId="0" applyFont="1" applyFill="1" applyBorder="1" applyAlignment="1" applyProtection="1">
      <alignment horizontal="center" vertical="center" wrapText="1"/>
      <protection hidden="1"/>
    </xf>
    <xf numFmtId="0" fontId="2" fillId="13" borderId="7" xfId="0" applyFont="1" applyFill="1" applyBorder="1" applyAlignment="1" applyProtection="1">
      <alignment horizontal="center" vertical="center" wrapText="1"/>
      <protection hidden="1"/>
    </xf>
    <xf numFmtId="0" fontId="2" fillId="13" borderId="9" xfId="0" applyFont="1" applyFill="1" applyBorder="1" applyAlignment="1" applyProtection="1">
      <alignment horizontal="center" vertical="center" wrapText="1"/>
      <protection hidden="1"/>
    </xf>
    <xf numFmtId="0" fontId="2" fillId="13" borderId="10" xfId="0" applyFont="1" applyFill="1" applyBorder="1" applyAlignment="1" applyProtection="1">
      <alignment horizontal="center" vertical="center" wrapText="1"/>
      <protection hidden="1"/>
    </xf>
    <xf numFmtId="0" fontId="2" fillId="13" borderId="11" xfId="0" applyFont="1" applyFill="1" applyBorder="1" applyAlignment="1" applyProtection="1">
      <alignment horizontal="center" vertical="center" wrapText="1"/>
      <protection hidden="1"/>
    </xf>
    <xf numFmtId="0" fontId="0" fillId="5" borderId="18"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7" borderId="18" xfId="0" applyFill="1" applyBorder="1" applyAlignment="1" applyProtection="1">
      <alignment horizontal="center" wrapText="1"/>
      <protection hidden="1"/>
    </xf>
    <xf numFmtId="0" fontId="0" fillId="7" borderId="23" xfId="0" applyFill="1" applyBorder="1" applyAlignment="1" applyProtection="1">
      <alignment horizontal="center" wrapText="1"/>
      <protection hidden="1"/>
    </xf>
    <xf numFmtId="44" fontId="1" fillId="7" borderId="18" xfId="3" applyFont="1" applyFill="1" applyBorder="1" applyAlignment="1" applyProtection="1">
      <alignment horizontal="center" vertical="center"/>
      <protection hidden="1"/>
    </xf>
    <xf numFmtId="44" fontId="1" fillId="7" borderId="23" xfId="3" applyFont="1" applyFill="1" applyBorder="1" applyAlignment="1" applyProtection="1">
      <alignment horizontal="center" vertical="center"/>
      <protection hidden="1"/>
    </xf>
    <xf numFmtId="44" fontId="0" fillId="13" borderId="18" xfId="3" applyFont="1" applyFill="1" applyBorder="1" applyAlignment="1" applyProtection="1">
      <alignment horizontal="center" vertical="center"/>
      <protection hidden="1"/>
    </xf>
    <xf numFmtId="44" fontId="0" fillId="13" borderId="23" xfId="3" applyFont="1" applyFill="1" applyBorder="1" applyAlignment="1" applyProtection="1">
      <alignment horizontal="center" vertical="center"/>
      <protection hidden="1"/>
    </xf>
    <xf numFmtId="0" fontId="4" fillId="7" borderId="18" xfId="0" applyFont="1" applyFill="1" applyBorder="1" applyAlignment="1" applyProtection="1">
      <alignment horizontal="center" wrapText="1"/>
      <protection hidden="1"/>
    </xf>
    <xf numFmtId="0" fontId="4" fillId="7" borderId="23" xfId="0" applyFont="1" applyFill="1" applyBorder="1" applyAlignment="1" applyProtection="1">
      <alignment horizontal="center" wrapText="1"/>
      <protection hidden="1"/>
    </xf>
    <xf numFmtId="0" fontId="1" fillId="5" borderId="1" xfId="0" applyFont="1" applyFill="1" applyBorder="1" applyAlignment="1" applyProtection="1">
      <alignment horizontal="center"/>
      <protection locked="0"/>
    </xf>
    <xf numFmtId="0" fontId="0" fillId="5" borderId="1" xfId="0" applyFill="1" applyBorder="1" applyAlignment="1" applyProtection="1">
      <alignment horizontal="center"/>
      <protection locked="0"/>
    </xf>
    <xf numFmtId="0" fontId="2" fillId="0" borderId="1" xfId="0" applyFont="1" applyBorder="1" applyAlignment="1" applyProtection="1">
      <alignment horizontal="center"/>
      <protection hidden="1"/>
    </xf>
    <xf numFmtId="44" fontId="21" fillId="5" borderId="18" xfId="3" applyFont="1" applyFill="1" applyBorder="1" applyAlignment="1" applyProtection="1">
      <alignment horizontal="center" vertical="center"/>
      <protection locked="0"/>
    </xf>
    <xf numFmtId="44" fontId="21" fillId="5" borderId="23" xfId="3" applyFont="1" applyFill="1" applyBorder="1" applyAlignment="1" applyProtection="1">
      <alignment horizontal="center" vertical="center"/>
      <protection locked="0"/>
    </xf>
    <xf numFmtId="0" fontId="4" fillId="5" borderId="1" xfId="0" applyFont="1" applyFill="1" applyBorder="1" applyAlignment="1" applyProtection="1">
      <alignment horizontal="center"/>
      <protection locked="0"/>
    </xf>
    <xf numFmtId="0" fontId="4" fillId="0" borderId="5" xfId="0" applyFont="1" applyBorder="1" applyAlignment="1" applyProtection="1">
      <alignment horizontal="center" wrapText="1"/>
      <protection hidden="1"/>
    </xf>
    <xf numFmtId="0" fontId="4" fillId="0" borderId="6" xfId="0" applyFont="1" applyBorder="1" applyAlignment="1" applyProtection="1">
      <alignment horizontal="center" wrapText="1"/>
      <protection hidden="1"/>
    </xf>
    <xf numFmtId="0" fontId="4" fillId="0" borderId="7" xfId="0" applyFont="1" applyBorder="1" applyAlignment="1" applyProtection="1">
      <alignment horizontal="center" wrapText="1"/>
      <protection hidden="1"/>
    </xf>
    <xf numFmtId="0" fontId="4" fillId="0" borderId="9" xfId="0" applyFont="1" applyBorder="1" applyAlignment="1" applyProtection="1">
      <alignment horizontal="center" wrapText="1"/>
      <protection hidden="1"/>
    </xf>
    <xf numFmtId="0" fontId="4" fillId="0" borderId="10" xfId="0" applyFont="1" applyBorder="1" applyAlignment="1" applyProtection="1">
      <alignment horizontal="center" wrapText="1"/>
      <protection hidden="1"/>
    </xf>
    <xf numFmtId="0" fontId="4" fillId="0" borderId="11" xfId="0" applyFont="1" applyBorder="1" applyAlignment="1" applyProtection="1">
      <alignment horizontal="center" wrapText="1"/>
      <protection hidden="1"/>
    </xf>
    <xf numFmtId="0" fontId="4" fillId="0" borderId="1" xfId="0" applyFont="1" applyBorder="1" applyAlignment="1" applyProtection="1">
      <alignment horizontal="center"/>
      <protection hidden="1"/>
    </xf>
    <xf numFmtId="0" fontId="1" fillId="13" borderId="1" xfId="0" applyFont="1" applyFill="1" applyBorder="1" applyAlignment="1" applyProtection="1">
      <alignment horizontal="center" vertical="center"/>
      <protection hidden="1"/>
    </xf>
    <xf numFmtId="0" fontId="4" fillId="13" borderId="1" xfId="0" applyFont="1" applyFill="1" applyBorder="1" applyAlignment="1" applyProtection="1">
      <alignment horizontal="center" vertical="center"/>
      <protection hidden="1"/>
    </xf>
    <xf numFmtId="0" fontId="4" fillId="8" borderId="1" xfId="0" applyFont="1" applyFill="1" applyBorder="1" applyAlignment="1" applyProtection="1">
      <alignment horizontal="center"/>
      <protection hidden="1"/>
    </xf>
    <xf numFmtId="0" fontId="4" fillId="8" borderId="3" xfId="0" applyFont="1" applyFill="1" applyBorder="1" applyAlignment="1" applyProtection="1">
      <alignment horizontal="left"/>
      <protection hidden="1"/>
    </xf>
    <xf numFmtId="0" fontId="0" fillId="8" borderId="4" xfId="0" applyFill="1" applyBorder="1" applyAlignment="1" applyProtection="1">
      <alignment horizontal="left"/>
      <protection hidden="1"/>
    </xf>
    <xf numFmtId="0" fontId="2" fillId="0" borderId="10" xfId="0" applyFont="1" applyBorder="1" applyAlignment="1" applyProtection="1">
      <alignment horizontal="center"/>
      <protection hidden="1"/>
    </xf>
    <xf numFmtId="0" fontId="4" fillId="8" borderId="12" xfId="0" applyFont="1" applyFill="1" applyBorder="1" applyAlignment="1" applyProtection="1">
      <alignment horizontal="left"/>
      <protection hidden="1"/>
    </xf>
    <xf numFmtId="0" fontId="4" fillId="8" borderId="4" xfId="0" applyFont="1" applyFill="1" applyBorder="1" applyAlignment="1" applyProtection="1">
      <alignment horizontal="left"/>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20" fillId="8" borderId="3" xfId="0" applyFont="1" applyFill="1" applyBorder="1" applyAlignment="1" applyProtection="1">
      <alignment horizontal="center"/>
      <protection hidden="1"/>
    </xf>
    <xf numFmtId="0" fontId="20" fillId="8" borderId="12" xfId="0" applyFont="1" applyFill="1" applyBorder="1" applyAlignment="1" applyProtection="1">
      <alignment horizontal="center"/>
      <protection hidden="1"/>
    </xf>
    <xf numFmtId="0" fontId="20" fillId="8" borderId="4" xfId="0" applyFont="1" applyFill="1" applyBorder="1" applyAlignment="1" applyProtection="1">
      <alignment horizontal="center"/>
      <protection hidden="1"/>
    </xf>
    <xf numFmtId="0" fontId="4" fillId="7" borderId="1" xfId="0" applyFont="1" applyFill="1" applyBorder="1" applyAlignment="1" applyProtection="1">
      <alignment horizontal="center"/>
      <protection hidden="1"/>
    </xf>
    <xf numFmtId="0" fontId="2" fillId="12" borderId="3" xfId="0" applyFont="1" applyFill="1" applyBorder="1" applyAlignment="1" applyProtection="1">
      <alignment horizontal="center"/>
      <protection hidden="1"/>
    </xf>
    <xf numFmtId="0" fontId="2" fillId="12" borderId="12" xfId="0" applyFont="1" applyFill="1" applyBorder="1" applyAlignment="1" applyProtection="1">
      <alignment horizontal="center"/>
      <protection hidden="1"/>
    </xf>
    <xf numFmtId="0" fontId="2" fillId="12" borderId="4" xfId="0" applyFont="1" applyFill="1" applyBorder="1" applyAlignment="1" applyProtection="1">
      <alignment horizontal="center"/>
      <protection hidden="1"/>
    </xf>
    <xf numFmtId="0" fontId="0" fillId="12" borderId="12" xfId="0" applyFill="1" applyBorder="1" applyAlignment="1" applyProtection="1">
      <alignment horizontal="center"/>
      <protection hidden="1"/>
    </xf>
    <xf numFmtId="0" fontId="0" fillId="15" borderId="1" xfId="0" applyFill="1" applyBorder="1" applyAlignment="1" applyProtection="1">
      <alignment horizontal="center"/>
      <protection hidden="1"/>
    </xf>
    <xf numFmtId="0" fontId="2" fillId="0" borderId="1" xfId="0" applyFont="1" applyBorder="1" applyAlignment="1" applyProtection="1">
      <alignment horizontal="center" vertical="center" wrapText="1"/>
      <protection hidden="1"/>
    </xf>
    <xf numFmtId="0" fontId="1" fillId="5" borderId="5" xfId="0" applyFont="1" applyFill="1" applyBorder="1" applyAlignment="1" applyProtection="1">
      <alignment horizontal="center" vertical="top" wrapText="1"/>
      <protection locked="0"/>
    </xf>
    <xf numFmtId="0" fontId="4" fillId="5" borderId="6" xfId="0" applyFont="1" applyFill="1" applyBorder="1" applyAlignment="1" applyProtection="1">
      <alignment horizontal="center" vertical="top"/>
      <protection locked="0"/>
    </xf>
    <xf numFmtId="0" fontId="4" fillId="5" borderId="7" xfId="0" applyFont="1" applyFill="1" applyBorder="1" applyAlignment="1" applyProtection="1">
      <alignment horizontal="center" vertical="top"/>
      <protection locked="0"/>
    </xf>
    <xf numFmtId="0" fontId="4" fillId="5" borderId="8" xfId="0" applyFont="1" applyFill="1" applyBorder="1" applyAlignment="1" applyProtection="1">
      <alignment horizontal="center" vertical="top"/>
      <protection locked="0"/>
    </xf>
    <xf numFmtId="0" fontId="4" fillId="5" borderId="0" xfId="0" applyFont="1" applyFill="1" applyAlignment="1" applyProtection="1">
      <alignment horizontal="center" vertical="top"/>
      <protection locked="0"/>
    </xf>
    <xf numFmtId="0" fontId="4" fillId="5" borderId="2" xfId="0" applyFont="1" applyFill="1" applyBorder="1" applyAlignment="1" applyProtection="1">
      <alignment horizontal="center" vertical="top"/>
      <protection locked="0"/>
    </xf>
    <xf numFmtId="0" fontId="4" fillId="5" borderId="9" xfId="0" applyFont="1" applyFill="1" applyBorder="1" applyAlignment="1" applyProtection="1">
      <alignment horizontal="center" vertical="top"/>
      <protection locked="0"/>
    </xf>
    <xf numFmtId="0" fontId="4" fillId="5" borderId="10" xfId="0" applyFont="1" applyFill="1" applyBorder="1" applyAlignment="1" applyProtection="1">
      <alignment horizontal="center" vertical="top"/>
      <protection locked="0"/>
    </xf>
    <xf numFmtId="0" fontId="4" fillId="5" borderId="11" xfId="0" applyFont="1" applyFill="1" applyBorder="1" applyAlignment="1" applyProtection="1">
      <alignment horizontal="center" vertical="top"/>
      <protection locked="0"/>
    </xf>
    <xf numFmtId="0" fontId="0" fillId="10" borderId="3" xfId="0" applyFill="1" applyBorder="1" applyAlignment="1" applyProtection="1">
      <alignment horizontal="center"/>
      <protection hidden="1"/>
    </xf>
    <xf numFmtId="0" fontId="0" fillId="10" borderId="4" xfId="0" applyFill="1" applyBorder="1" applyAlignment="1" applyProtection="1">
      <alignment horizontal="center"/>
      <protection hidden="1"/>
    </xf>
    <xf numFmtId="44" fontId="4" fillId="7" borderId="1" xfId="3" applyFont="1" applyFill="1" applyBorder="1" applyAlignment="1" applyProtection="1">
      <alignment horizontal="center" vertical="center"/>
      <protection hidden="1"/>
    </xf>
  </cellXfs>
  <cellStyles count="11">
    <cellStyle name="Comma" xfId="1" builtinId="3"/>
    <cellStyle name="Comma 2" xfId="2" xr:uid="{00000000-0005-0000-0000-000001000000}"/>
    <cellStyle name="Currency" xfId="3" builtinId="4"/>
    <cellStyle name="Currency 2" xfId="4" xr:uid="{00000000-0005-0000-0000-000003000000}"/>
    <cellStyle name="Normal" xfId="0" builtinId="0"/>
    <cellStyle name="Normal 2" xfId="5" xr:uid="{00000000-0005-0000-0000-000005000000}"/>
    <cellStyle name="Normal 2 2" xfId="6" xr:uid="{00000000-0005-0000-0000-000006000000}"/>
    <cellStyle name="Normal 3" xfId="7" xr:uid="{00000000-0005-0000-0000-000007000000}"/>
    <cellStyle name="Normal 4" xfId="8" xr:uid="{00000000-0005-0000-0000-000008000000}"/>
    <cellStyle name="Normal_Sheet1" xfId="9" xr:uid="{00000000-0005-0000-0000-000009000000}"/>
    <cellStyle name="Percent" xfId="10" builtinId="5"/>
  </cellStyles>
  <dxfs count="42">
    <dxf>
      <fill>
        <patternFill>
          <bgColor rgb="FFFFC000"/>
        </patternFill>
      </fill>
    </dxf>
    <dxf>
      <fill>
        <patternFill>
          <bgColor rgb="FF92D050"/>
        </patternFill>
      </fill>
    </dxf>
    <dxf>
      <fill>
        <patternFill>
          <bgColor theme="5" tint="0.59996337778862885"/>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ont>
        <color rgb="FFFF0000"/>
      </font>
    </dxf>
    <dxf>
      <font>
        <color rgb="FFFF0000"/>
      </font>
    </dxf>
    <dxf>
      <fill>
        <patternFill>
          <bgColor theme="5" tint="0.79998168889431442"/>
        </patternFill>
      </fill>
    </dxf>
    <dxf>
      <fill>
        <patternFill>
          <bgColor theme="5" tint="0.79998168889431442"/>
        </patternFill>
      </fill>
    </dxf>
    <dxf>
      <fill>
        <patternFill>
          <bgColor theme="5" tint="0.59996337778862885"/>
        </patternFill>
      </fill>
    </dxf>
    <dxf>
      <fill>
        <patternFill>
          <bgColor theme="8" tint="0.59996337778862885"/>
        </patternFill>
      </fill>
    </dxf>
    <dxf>
      <fill>
        <patternFill>
          <bgColor rgb="FF92D050"/>
        </patternFill>
      </fill>
    </dxf>
    <dxf>
      <fill>
        <patternFill>
          <bgColor rgb="FF92D050"/>
        </patternFill>
      </fill>
    </dxf>
    <dxf>
      <fill>
        <patternFill>
          <bgColor rgb="FFFFC000"/>
        </patternFill>
      </fill>
    </dxf>
    <dxf>
      <fill>
        <patternFill>
          <bgColor theme="5" tint="0.59996337778862885"/>
        </patternFill>
      </fill>
    </dxf>
    <dxf>
      <fill>
        <patternFill>
          <bgColor rgb="FF92D050"/>
        </patternFill>
      </fill>
    </dxf>
    <dxf>
      <fill>
        <patternFill>
          <bgColor theme="5" tint="0.59996337778862885"/>
        </patternFill>
      </fill>
    </dxf>
    <dxf>
      <fill>
        <patternFill>
          <bgColor rgb="FFFFC000"/>
        </patternFill>
      </fill>
    </dxf>
    <dxf>
      <fill>
        <patternFill>
          <bgColor theme="5" tint="0.59996337778862885"/>
        </patternFill>
      </fill>
    </dxf>
    <dxf>
      <fill>
        <patternFill>
          <bgColor rgb="FF92D05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Light16"/>
  <colors>
    <mruColors>
      <color rgb="FFE7EEEF"/>
      <color rgb="FFFFFF99"/>
      <color rgb="FFEEE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421341</xdr:colOff>
      <xdr:row>0</xdr:row>
      <xdr:rowOff>80682</xdr:rowOff>
    </xdr:from>
    <xdr:to>
      <xdr:col>7</xdr:col>
      <xdr:colOff>703281</xdr:colOff>
      <xdr:row>4</xdr:row>
      <xdr:rowOff>4482</xdr:rowOff>
    </xdr:to>
    <xdr:pic>
      <xdr:nvPicPr>
        <xdr:cNvPr id="3" name="Picture 2">
          <a:extLst>
            <a:ext uri="{FF2B5EF4-FFF2-40B4-BE49-F238E27FC236}">
              <a16:creationId xmlns:a16="http://schemas.microsoft.com/office/drawing/2014/main" id="{09CE7F6E-060E-45B0-A10B-115E59FEDF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87035" y="80682"/>
          <a:ext cx="2406575" cy="605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735107</xdr:colOff>
      <xdr:row>0</xdr:row>
      <xdr:rowOff>125504</xdr:rowOff>
    </xdr:from>
    <xdr:to>
      <xdr:col>9</xdr:col>
      <xdr:colOff>624841</xdr:colOff>
      <xdr:row>4</xdr:row>
      <xdr:rowOff>49304</xdr:rowOff>
    </xdr:to>
    <xdr:pic>
      <xdr:nvPicPr>
        <xdr:cNvPr id="2" name="Picture 2">
          <a:extLst>
            <a:ext uri="{FF2B5EF4-FFF2-40B4-BE49-F238E27FC236}">
              <a16:creationId xmlns:a16="http://schemas.microsoft.com/office/drawing/2014/main" id="{453174B3-2D33-45CD-90E1-EBBAB4F41E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8966" y="125504"/>
          <a:ext cx="2337099" cy="596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U135"/>
  <sheetViews>
    <sheetView showGridLines="0" tabSelected="1" zoomScale="85" zoomScaleNormal="85" workbookViewId="0">
      <selection activeCell="D3" sqref="D3"/>
    </sheetView>
  </sheetViews>
  <sheetFormatPr defaultColWidth="9.109375" defaultRowHeight="13.2"/>
  <cols>
    <col min="1" max="1" width="52.109375" style="44" customWidth="1"/>
    <col min="2" max="2" width="9.109375" style="58"/>
    <col min="3" max="3" width="7.109375" style="44" customWidth="1"/>
    <col min="4" max="4" width="14.21875" style="44" bestFit="1" customWidth="1"/>
    <col min="5" max="5" width="11.109375" style="44" customWidth="1"/>
    <col min="6" max="6" width="5.6640625" style="44" customWidth="1"/>
    <col min="7" max="7" width="14.21875" style="44" customWidth="1"/>
    <col min="8" max="8" width="11.33203125" style="44" customWidth="1"/>
    <col min="9" max="9" width="5.88671875" style="44" customWidth="1"/>
    <col min="10" max="11" width="9.109375" style="45" hidden="1" customWidth="1"/>
    <col min="12" max="12" width="9.109375" style="46" hidden="1" customWidth="1"/>
    <col min="13" max="13" width="10.109375" style="46" hidden="1" customWidth="1"/>
    <col min="14" max="14" width="42.109375" style="46" hidden="1" customWidth="1"/>
    <col min="15" max="15" width="17.21875" style="46" hidden="1" customWidth="1"/>
    <col min="16" max="16" width="13" style="46" hidden="1" customWidth="1"/>
    <col min="17" max="17" width="14.21875" style="46" hidden="1" customWidth="1"/>
    <col min="18" max="18" width="12.6640625" style="46" hidden="1" customWidth="1"/>
    <col min="19" max="19" width="12.88671875" style="46" hidden="1" customWidth="1"/>
    <col min="20" max="20" width="11.6640625" style="46" hidden="1" customWidth="1"/>
    <col min="21" max="21" width="11.6640625" style="44" hidden="1" customWidth="1"/>
    <col min="22" max="22" width="24.109375" style="44" hidden="1" customWidth="1"/>
    <col min="23" max="23" width="12.5546875" style="44" hidden="1" customWidth="1"/>
    <col min="24" max="24" width="15.6640625" style="44" hidden="1" customWidth="1"/>
    <col min="25" max="28" width="11.6640625" style="44" hidden="1" customWidth="1"/>
    <col min="29" max="29" width="13.88671875" style="44" hidden="1" customWidth="1"/>
    <col min="30" max="30" width="11.6640625" style="44" hidden="1" customWidth="1"/>
    <col min="31" max="31" width="12.44140625" style="44" hidden="1" customWidth="1"/>
    <col min="32" max="37" width="9.109375" style="44"/>
    <col min="38" max="38" width="3.77734375" style="44" customWidth="1"/>
    <col min="39" max="45" width="9.109375" style="44"/>
    <col min="46" max="46" width="15" style="44" customWidth="1"/>
    <col min="47" max="16384" width="9.109375" style="44"/>
  </cols>
  <sheetData>
    <row r="2" spans="1:38">
      <c r="A2" s="479" t="s">
        <v>214</v>
      </c>
      <c r="B2" s="480"/>
      <c r="C2" s="481"/>
    </row>
    <row r="3" spans="1:38">
      <c r="A3" s="482"/>
      <c r="B3" s="483"/>
      <c r="C3" s="484"/>
    </row>
    <row r="4" spans="1:38">
      <c r="B4" s="44"/>
    </row>
    <row r="5" spans="1:38">
      <c r="A5" s="479" t="s">
        <v>510</v>
      </c>
      <c r="B5" s="480"/>
      <c r="C5" s="481"/>
      <c r="D5" s="36" t="s">
        <v>28</v>
      </c>
      <c r="N5" s="46" t="s">
        <v>35</v>
      </c>
    </row>
    <row r="6" spans="1:38">
      <c r="A6" s="482"/>
      <c r="B6" s="483"/>
      <c r="C6" s="484"/>
      <c r="D6" s="11"/>
      <c r="F6" s="47" t="s">
        <v>404</v>
      </c>
      <c r="H6" s="48">
        <f>L8</f>
        <v>4.5</v>
      </c>
      <c r="N6" s="49" t="s">
        <v>138</v>
      </c>
      <c r="O6" s="50" t="s">
        <v>403</v>
      </c>
      <c r="P6" s="51"/>
      <c r="Q6" s="52"/>
      <c r="R6" s="53">
        <v>4.5</v>
      </c>
    </row>
    <row r="7" spans="1:38">
      <c r="B7" s="44"/>
      <c r="N7" s="49" t="s">
        <v>139</v>
      </c>
      <c r="O7" s="54" t="s">
        <v>395</v>
      </c>
      <c r="P7" s="55"/>
      <c r="Q7" s="55"/>
      <c r="R7" s="56">
        <v>4.5</v>
      </c>
    </row>
    <row r="8" spans="1:38" ht="12.75" customHeight="1">
      <c r="A8" s="57" t="s">
        <v>586</v>
      </c>
      <c r="B8" s="457" t="s">
        <v>582</v>
      </c>
      <c r="D8" s="493" t="s">
        <v>403</v>
      </c>
      <c r="E8" s="494"/>
      <c r="F8" s="494"/>
      <c r="G8" s="494"/>
      <c r="H8" s="495"/>
      <c r="I8" s="59"/>
      <c r="J8" s="60" t="s">
        <v>397</v>
      </c>
      <c r="K8" s="61"/>
      <c r="L8" s="62">
        <f>Affordability!I111</f>
        <v>4.5</v>
      </c>
      <c r="N8" s="46" t="s">
        <v>371</v>
      </c>
      <c r="O8" s="54" t="s">
        <v>394</v>
      </c>
      <c r="P8" s="63"/>
      <c r="Q8" s="63"/>
      <c r="R8" s="56">
        <v>3.5</v>
      </c>
      <c r="AF8" s="64" t="s">
        <v>537</v>
      </c>
      <c r="AG8" s="65"/>
      <c r="AH8" s="65"/>
      <c r="AI8" s="65"/>
      <c r="AJ8" s="65"/>
      <c r="AK8" s="65"/>
      <c r="AL8" s="65"/>
    </row>
    <row r="9" spans="1:38">
      <c r="B9" s="44"/>
      <c r="J9" s="60" t="s">
        <v>398</v>
      </c>
      <c r="K9" s="61"/>
      <c r="L9" s="66">
        <f>O82</f>
        <v>0.1</v>
      </c>
      <c r="O9" s="67" t="s">
        <v>370</v>
      </c>
      <c r="P9" s="63"/>
      <c r="Q9" s="63"/>
      <c r="R9" s="56">
        <v>4.25</v>
      </c>
    </row>
    <row r="10" spans="1:38">
      <c r="A10" s="24" t="s">
        <v>405</v>
      </c>
      <c r="D10" s="498" t="s">
        <v>0</v>
      </c>
      <c r="E10" s="498"/>
      <c r="G10" s="498" t="s">
        <v>1</v>
      </c>
      <c r="H10" s="498"/>
      <c r="K10" s="45" t="s">
        <v>35</v>
      </c>
      <c r="O10" s="68" t="s">
        <v>396</v>
      </c>
      <c r="P10" s="69"/>
      <c r="Q10" s="69"/>
      <c r="R10" s="70">
        <v>5.25</v>
      </c>
      <c r="V10" s="458" t="s">
        <v>583</v>
      </c>
      <c r="W10" s="460" t="s">
        <v>584</v>
      </c>
      <c r="X10" s="460"/>
      <c r="Y10" s="460"/>
    </row>
    <row r="11" spans="1:38">
      <c r="L11" s="45"/>
      <c r="M11" s="45"/>
      <c r="N11" s="45"/>
      <c r="Q11" s="46" t="s">
        <v>35</v>
      </c>
    </row>
    <row r="12" spans="1:38">
      <c r="A12" s="44" t="s">
        <v>424</v>
      </c>
      <c r="D12" s="485" t="s">
        <v>139</v>
      </c>
      <c r="E12" s="486"/>
      <c r="G12" s="485" t="s">
        <v>139</v>
      </c>
      <c r="H12" s="486"/>
      <c r="N12" s="458" t="s">
        <v>581</v>
      </c>
      <c r="O12" s="462" t="s">
        <v>579</v>
      </c>
      <c r="P12" s="463"/>
      <c r="Q12" s="46" t="s">
        <v>35</v>
      </c>
    </row>
    <row r="13" spans="1:38" ht="13.5" customHeight="1" thickBot="1">
      <c r="V13" s="44" t="s">
        <v>429</v>
      </c>
      <c r="AA13" s="44" t="s">
        <v>429</v>
      </c>
    </row>
    <row r="14" spans="1:38" ht="12.75" customHeight="1">
      <c r="A14" s="499" t="s">
        <v>213</v>
      </c>
      <c r="D14" s="479" t="s">
        <v>216</v>
      </c>
      <c r="E14" s="480"/>
      <c r="F14" s="480"/>
      <c r="G14" s="480"/>
      <c r="H14" s="481"/>
      <c r="J14" s="72" t="s">
        <v>549</v>
      </c>
      <c r="K14" s="72" t="s">
        <v>550</v>
      </c>
      <c r="N14" s="73"/>
      <c r="O14" s="74" t="s">
        <v>14</v>
      </c>
      <c r="P14" s="75"/>
      <c r="Q14" s="76" t="s">
        <v>49</v>
      </c>
      <c r="S14" s="45" t="s">
        <v>14</v>
      </c>
    </row>
    <row r="15" spans="1:38">
      <c r="A15" s="500"/>
      <c r="C15" s="58"/>
      <c r="I15" s="58"/>
      <c r="N15" s="77" t="s">
        <v>54</v>
      </c>
      <c r="O15" s="81">
        <f>SUM(Q15/52)</f>
        <v>241.73076923076923</v>
      </c>
      <c r="P15" s="459">
        <v>0.08</v>
      </c>
      <c r="Q15" s="78">
        <v>12570</v>
      </c>
      <c r="R15" s="79"/>
      <c r="S15" s="45" t="s">
        <v>8</v>
      </c>
      <c r="V15" s="44" t="s">
        <v>437</v>
      </c>
      <c r="AA15" s="44" t="s">
        <v>438</v>
      </c>
    </row>
    <row r="16" spans="1:38">
      <c r="D16" s="80" t="s">
        <v>204</v>
      </c>
      <c r="E16" s="80" t="s">
        <v>209</v>
      </c>
      <c r="G16" s="80" t="s">
        <v>204</v>
      </c>
      <c r="H16" s="80" t="s">
        <v>209</v>
      </c>
      <c r="J16" s="72" t="s">
        <v>51</v>
      </c>
      <c r="K16" s="72" t="s">
        <v>51</v>
      </c>
      <c r="N16" s="77" t="s">
        <v>55</v>
      </c>
      <c r="O16" s="81">
        <v>967</v>
      </c>
      <c r="P16" s="459">
        <v>0.02</v>
      </c>
      <c r="Q16" s="78">
        <v>50270</v>
      </c>
      <c r="R16" s="28"/>
      <c r="S16" s="45" t="s">
        <v>49</v>
      </c>
      <c r="T16" s="28"/>
      <c r="U16" s="82"/>
      <c r="V16" s="82"/>
      <c r="W16" s="82"/>
      <c r="X16" s="82"/>
      <c r="Y16" s="82"/>
      <c r="Z16" s="82"/>
      <c r="AA16" s="82"/>
      <c r="AB16" s="82"/>
      <c r="AC16" s="82"/>
    </row>
    <row r="17" spans="1:47" ht="13.8" thickBot="1">
      <c r="B17" s="83" t="s">
        <v>53</v>
      </c>
      <c r="C17" s="84"/>
      <c r="D17" s="43"/>
      <c r="E17" s="43"/>
      <c r="G17" s="43"/>
      <c r="H17" s="43"/>
      <c r="J17" s="72" t="s">
        <v>6</v>
      </c>
      <c r="K17" s="72" t="s">
        <v>6</v>
      </c>
      <c r="N17" s="85"/>
      <c r="O17" s="86"/>
      <c r="P17" s="86"/>
      <c r="Q17" s="87">
        <f>Q16-Q15</f>
        <v>37700</v>
      </c>
      <c r="R17" s="88"/>
      <c r="S17" s="28"/>
      <c r="T17" s="28"/>
      <c r="U17" s="82"/>
      <c r="V17" s="82" t="s">
        <v>430</v>
      </c>
      <c r="W17" s="89">
        <f>SUM(J20:J44)-SUM(J48:J50)-W18</f>
        <v>0</v>
      </c>
      <c r="X17" s="82"/>
      <c r="Y17" s="82"/>
      <c r="Z17" s="82"/>
      <c r="AA17" s="82" t="s">
        <v>430</v>
      </c>
      <c r="AB17" s="89"/>
      <c r="AC17" s="89">
        <f>SUM(K20:K44)-SUM(K48:K50)-AC18</f>
        <v>0</v>
      </c>
      <c r="AE17" s="90"/>
      <c r="AF17" s="64" t="s">
        <v>538</v>
      </c>
      <c r="AG17" s="65"/>
      <c r="AH17" s="65"/>
      <c r="AI17" s="65"/>
      <c r="AJ17" s="65"/>
      <c r="AK17" s="65"/>
      <c r="AL17" s="65"/>
      <c r="AM17" s="65"/>
      <c r="AN17" s="65"/>
      <c r="AO17" s="65"/>
      <c r="AP17" s="65"/>
      <c r="AQ17" s="65"/>
      <c r="AR17" s="65"/>
      <c r="AS17" s="65"/>
      <c r="AT17" s="65"/>
      <c r="AU17" s="65"/>
    </row>
    <row r="18" spans="1:47" ht="12.75" customHeight="1">
      <c r="A18" s="34" t="s">
        <v>511</v>
      </c>
      <c r="B18" s="91" t="s">
        <v>39</v>
      </c>
      <c r="D18" s="58" t="s">
        <v>50</v>
      </c>
      <c r="E18" s="58" t="s">
        <v>5</v>
      </c>
      <c r="G18" s="58" t="s">
        <v>50</v>
      </c>
      <c r="H18" s="58" t="s">
        <v>5</v>
      </c>
      <c r="R18" s="28"/>
      <c r="S18" s="28"/>
      <c r="T18" s="28"/>
      <c r="U18" s="82"/>
      <c r="V18" s="82" t="s">
        <v>432</v>
      </c>
      <c r="W18" s="89">
        <f>J22</f>
        <v>0</v>
      </c>
      <c r="X18" s="82"/>
      <c r="Y18" s="82"/>
      <c r="Z18" s="82"/>
      <c r="AA18" s="82" t="s">
        <v>432</v>
      </c>
      <c r="AB18" s="89"/>
      <c r="AC18" s="89">
        <f>K22</f>
        <v>0</v>
      </c>
    </row>
    <row r="19" spans="1:47" ht="12.75" customHeight="1">
      <c r="A19" s="92"/>
      <c r="B19" s="91"/>
      <c r="N19" s="93" t="s">
        <v>52</v>
      </c>
      <c r="O19" s="72" t="s">
        <v>0</v>
      </c>
      <c r="P19" s="94"/>
      <c r="Q19" s="72" t="s">
        <v>1</v>
      </c>
      <c r="R19" s="28"/>
      <c r="S19" s="28"/>
      <c r="T19" s="28"/>
      <c r="U19" s="82"/>
      <c r="V19" s="82" t="s">
        <v>3</v>
      </c>
      <c r="W19" s="89">
        <f>W17+W18</f>
        <v>0</v>
      </c>
      <c r="X19" s="82"/>
      <c r="Y19" s="82"/>
      <c r="Z19" s="82"/>
      <c r="AA19" s="82" t="s">
        <v>3</v>
      </c>
      <c r="AB19" s="89"/>
      <c r="AC19" s="89">
        <f>AC17+AC18</f>
        <v>0</v>
      </c>
    </row>
    <row r="20" spans="1:47" ht="12.75" customHeight="1">
      <c r="A20" s="92" t="s">
        <v>48</v>
      </c>
      <c r="B20" s="95">
        <v>1</v>
      </c>
      <c r="D20" s="1">
        <v>0</v>
      </c>
      <c r="E20" s="9" t="s">
        <v>49</v>
      </c>
      <c r="G20" s="1">
        <v>0</v>
      </c>
      <c r="H20" s="9" t="s">
        <v>49</v>
      </c>
      <c r="J20" s="45">
        <f>IF(D20="",0,IF(E20="Annually",D20*B20,IF(E20="Monthly",D20*B20*12,D20*B20*52)))</f>
        <v>0</v>
      </c>
      <c r="K20" s="45">
        <f>IF(G20="",0,IF(H20="Annually",G20*B20,IF(H20="Monthly",G20*B20*12,G20*B20*52)))</f>
        <v>0</v>
      </c>
      <c r="R20" s="28"/>
      <c r="T20" s="28"/>
      <c r="U20" s="82"/>
      <c r="V20" s="82" t="s">
        <v>539</v>
      </c>
      <c r="W20" s="96">
        <v>12570</v>
      </c>
      <c r="X20" s="82"/>
      <c r="Y20" s="82"/>
      <c r="Z20" s="82"/>
      <c r="AA20" s="82" t="s">
        <v>539</v>
      </c>
      <c r="AB20" s="89"/>
      <c r="AC20" s="96">
        <v>12570</v>
      </c>
    </row>
    <row r="21" spans="1:47" ht="12.75" customHeight="1">
      <c r="A21" s="92" t="s">
        <v>40</v>
      </c>
      <c r="B21" s="95">
        <v>1</v>
      </c>
      <c r="D21" s="1">
        <v>0</v>
      </c>
      <c r="E21" s="9" t="s">
        <v>49</v>
      </c>
      <c r="G21" s="1">
        <v>0</v>
      </c>
      <c r="H21" s="9" t="s">
        <v>49</v>
      </c>
      <c r="J21" s="45">
        <f t="shared" ref="J21:J30" si="0">IF(D21="",0,IF(E21="Annually",D21*B21,IF(E21="Monthly",D21*B21*12,D21*B21*52)))</f>
        <v>0</v>
      </c>
      <c r="K21" s="45">
        <f t="shared" ref="K21:K31" si="1">IF(G21="",0,IF(H21="Annually",G21*B21,IF(H21="Monthly",G21*B21*12,G21*B21*52)))</f>
        <v>0</v>
      </c>
      <c r="N21" s="46" t="s">
        <v>444</v>
      </c>
      <c r="O21" s="97">
        <f>SUM(J20:J46)-SUM(J48:J50)</f>
        <v>0</v>
      </c>
      <c r="P21" s="97"/>
      <c r="Q21" s="97">
        <f>SUM(K20:K46)-SUM(K48:K50)</f>
        <v>0</v>
      </c>
      <c r="T21" s="28"/>
      <c r="U21" s="82"/>
      <c r="V21" s="82"/>
      <c r="W21" s="82"/>
      <c r="X21" s="98" t="s">
        <v>430</v>
      </c>
      <c r="Y21" s="98" t="s">
        <v>431</v>
      </c>
      <c r="Z21" s="82"/>
      <c r="AA21" s="82"/>
      <c r="AB21" s="82"/>
      <c r="AC21" s="82"/>
      <c r="AD21" s="99" t="s">
        <v>430</v>
      </c>
      <c r="AE21" s="99" t="s">
        <v>431</v>
      </c>
    </row>
    <row r="22" spans="1:47" ht="12.75" customHeight="1">
      <c r="A22" s="92" t="s">
        <v>41</v>
      </c>
      <c r="B22" s="95">
        <v>1</v>
      </c>
      <c r="D22" s="1">
        <v>0</v>
      </c>
      <c r="E22" s="9" t="s">
        <v>49</v>
      </c>
      <c r="G22" s="1">
        <v>0</v>
      </c>
      <c r="H22" s="9" t="s">
        <v>49</v>
      </c>
      <c r="J22" s="45">
        <f t="shared" si="0"/>
        <v>0</v>
      </c>
      <c r="K22" s="45">
        <f t="shared" si="1"/>
        <v>0</v>
      </c>
      <c r="T22" s="28"/>
      <c r="U22" s="82"/>
      <c r="V22" s="82" t="s">
        <v>540</v>
      </c>
      <c r="W22" s="461">
        <v>500</v>
      </c>
      <c r="X22" s="100"/>
      <c r="Y22" s="101">
        <v>0</v>
      </c>
      <c r="Z22" s="82"/>
      <c r="AA22" s="82" t="s">
        <v>540</v>
      </c>
      <c r="AB22" s="82"/>
      <c r="AC22" s="461">
        <v>500</v>
      </c>
      <c r="AD22" s="71"/>
      <c r="AE22" s="102">
        <v>0</v>
      </c>
    </row>
    <row r="23" spans="1:47" ht="12.75" customHeight="1">
      <c r="A23" s="92"/>
      <c r="B23" s="92"/>
      <c r="C23" s="92"/>
      <c r="D23" s="92"/>
      <c r="E23" s="92"/>
      <c r="F23" s="92"/>
      <c r="G23" s="92"/>
      <c r="H23" s="92"/>
      <c r="J23" s="45">
        <f>IF(D23="",0,IF(E23="Annually",D23*B23,IF(E23="Monthly",D23*B23*12,D23*B23*52)))</f>
        <v>0</v>
      </c>
      <c r="K23" s="45">
        <f t="shared" si="1"/>
        <v>0</v>
      </c>
      <c r="N23" s="46" t="s">
        <v>428</v>
      </c>
      <c r="O23" s="79">
        <f>SUM(O21-O25)</f>
        <v>0</v>
      </c>
      <c r="Q23" s="97">
        <f>SUM(Q21-Q25)</f>
        <v>0</v>
      </c>
      <c r="S23" s="28"/>
      <c r="T23" s="28"/>
      <c r="U23" s="82"/>
      <c r="V23" s="82" t="s">
        <v>433</v>
      </c>
      <c r="W23" s="96">
        <v>37700</v>
      </c>
      <c r="X23" s="101">
        <v>0.2</v>
      </c>
      <c r="Y23" s="103">
        <v>8.7499999999999994E-2</v>
      </c>
      <c r="Z23" s="82"/>
      <c r="AA23" s="82" t="s">
        <v>433</v>
      </c>
      <c r="AB23" s="82"/>
      <c r="AC23" s="96">
        <v>37700</v>
      </c>
      <c r="AD23" s="102">
        <v>0.2</v>
      </c>
      <c r="AE23" s="104">
        <v>8.7499999999999994E-2</v>
      </c>
    </row>
    <row r="24" spans="1:47" ht="12.75" customHeight="1">
      <c r="A24" s="92"/>
      <c r="B24" s="92"/>
      <c r="J24" s="45">
        <f t="shared" si="0"/>
        <v>0</v>
      </c>
      <c r="K24" s="45">
        <f t="shared" si="1"/>
        <v>0</v>
      </c>
      <c r="S24" s="28"/>
      <c r="T24" s="28"/>
      <c r="U24" s="82"/>
      <c r="V24" s="82" t="s">
        <v>541</v>
      </c>
      <c r="W24" s="461">
        <v>125140</v>
      </c>
      <c r="X24" s="101">
        <v>0.4</v>
      </c>
      <c r="Y24" s="103">
        <v>0.33750000000000002</v>
      </c>
      <c r="Z24" s="82"/>
      <c r="AA24" s="82" t="s">
        <v>541</v>
      </c>
      <c r="AB24" s="82"/>
      <c r="AC24" s="461">
        <v>125140</v>
      </c>
      <c r="AD24" s="102">
        <v>0.4</v>
      </c>
      <c r="AE24" s="104">
        <v>0.33750000000000002</v>
      </c>
    </row>
    <row r="25" spans="1:47" ht="12.75" customHeight="1">
      <c r="A25" s="92" t="s">
        <v>42</v>
      </c>
      <c r="B25" s="95">
        <v>1</v>
      </c>
      <c r="D25" s="1">
        <v>0</v>
      </c>
      <c r="E25" s="9" t="s">
        <v>49</v>
      </c>
      <c r="G25" s="1">
        <v>0</v>
      </c>
      <c r="H25" s="9" t="s">
        <v>49</v>
      </c>
      <c r="J25" s="45">
        <f t="shared" si="0"/>
        <v>0</v>
      </c>
      <c r="K25" s="45">
        <f t="shared" si="1"/>
        <v>0</v>
      </c>
      <c r="N25" s="65" t="s">
        <v>443</v>
      </c>
      <c r="O25" s="105">
        <f>J22</f>
        <v>0</v>
      </c>
      <c r="P25" s="65"/>
      <c r="Q25" s="105">
        <f>K22</f>
        <v>0</v>
      </c>
      <c r="T25" s="28"/>
      <c r="U25" s="82"/>
      <c r="V25" s="82" t="s">
        <v>434</v>
      </c>
      <c r="W25" s="96"/>
      <c r="X25" s="101">
        <v>0.45</v>
      </c>
      <c r="Y25" s="103">
        <v>0.39350000000000002</v>
      </c>
      <c r="Z25" s="82"/>
      <c r="AA25" s="82" t="s">
        <v>434</v>
      </c>
      <c r="AB25" s="82"/>
      <c r="AC25" s="96"/>
      <c r="AD25" s="102">
        <v>0.45</v>
      </c>
      <c r="AE25" s="104">
        <v>0.39350000000000002</v>
      </c>
    </row>
    <row r="26" spans="1:47" ht="12.75" customHeight="1">
      <c r="A26" s="92" t="s">
        <v>43</v>
      </c>
      <c r="B26" s="95">
        <v>1</v>
      </c>
      <c r="D26" s="1">
        <v>0</v>
      </c>
      <c r="E26" s="9" t="s">
        <v>49</v>
      </c>
      <c r="G26" s="1">
        <v>0</v>
      </c>
      <c r="H26" s="9" t="s">
        <v>49</v>
      </c>
      <c r="J26" s="45">
        <f t="shared" si="0"/>
        <v>0</v>
      </c>
      <c r="K26" s="45">
        <f t="shared" si="1"/>
        <v>0</v>
      </c>
      <c r="M26" s="45"/>
      <c r="T26" s="106"/>
      <c r="U26" s="107"/>
      <c r="V26" s="108"/>
      <c r="W26" s="108"/>
      <c r="X26" s="108"/>
      <c r="Y26" s="108"/>
      <c r="Z26" s="108"/>
      <c r="AA26" s="108"/>
      <c r="AB26" s="108"/>
      <c r="AC26" s="108"/>
    </row>
    <row r="27" spans="1:47" ht="12.75" customHeight="1">
      <c r="A27" s="35" t="s">
        <v>512</v>
      </c>
      <c r="B27" s="95">
        <v>1</v>
      </c>
      <c r="D27" s="1">
        <v>0</v>
      </c>
      <c r="E27" s="9" t="s">
        <v>49</v>
      </c>
      <c r="G27" s="1">
        <v>0</v>
      </c>
      <c r="H27" s="9" t="s">
        <v>49</v>
      </c>
      <c r="J27" s="45">
        <f t="shared" si="0"/>
        <v>0</v>
      </c>
      <c r="K27" s="45">
        <f t="shared" si="1"/>
        <v>0</v>
      </c>
      <c r="S27" s="28"/>
      <c r="T27" s="28"/>
      <c r="U27" s="82"/>
      <c r="V27" s="82" t="s">
        <v>435</v>
      </c>
      <c r="W27" s="89">
        <v>100000</v>
      </c>
      <c r="X27" s="82"/>
      <c r="Y27" s="82"/>
      <c r="Z27" s="82"/>
      <c r="AA27" s="82" t="s">
        <v>435</v>
      </c>
      <c r="AB27" s="82"/>
      <c r="AC27" s="89">
        <v>100000</v>
      </c>
    </row>
    <row r="28" spans="1:47" ht="12.75" customHeight="1">
      <c r="A28" s="35" t="s">
        <v>513</v>
      </c>
      <c r="B28" s="95">
        <v>1</v>
      </c>
      <c r="D28" s="1">
        <v>0</v>
      </c>
      <c r="E28" s="9" t="s">
        <v>49</v>
      </c>
      <c r="G28" s="1">
        <v>0</v>
      </c>
      <c r="H28" s="9" t="s">
        <v>49</v>
      </c>
      <c r="J28" s="45">
        <f t="shared" si="0"/>
        <v>0</v>
      </c>
      <c r="K28" s="45">
        <f t="shared" si="1"/>
        <v>0</v>
      </c>
      <c r="S28" s="28"/>
      <c r="T28" s="109"/>
      <c r="U28" s="98"/>
      <c r="V28" s="110" t="s">
        <v>542</v>
      </c>
      <c r="W28" s="111">
        <f>IF(W19&lt;W27,0,(W19-W27)/2)</f>
        <v>0</v>
      </c>
      <c r="X28" s="98"/>
      <c r="Y28" s="98"/>
      <c r="Z28" s="98"/>
      <c r="AA28" s="110" t="s">
        <v>542</v>
      </c>
      <c r="AB28" s="98"/>
      <c r="AC28" s="111">
        <f>IF(AC19&lt;AC27,0,(AC19-AC27)/2)</f>
        <v>0</v>
      </c>
    </row>
    <row r="29" spans="1:47" ht="12.75" customHeight="1">
      <c r="A29" s="35" t="s">
        <v>455</v>
      </c>
      <c r="B29" s="95">
        <v>1</v>
      </c>
      <c r="D29" s="1">
        <v>0</v>
      </c>
      <c r="E29" s="9" t="s">
        <v>49</v>
      </c>
      <c r="G29" s="1">
        <v>0</v>
      </c>
      <c r="H29" s="9" t="s">
        <v>49</v>
      </c>
      <c r="J29" s="45">
        <f t="shared" si="0"/>
        <v>0</v>
      </c>
      <c r="K29" s="45">
        <f t="shared" si="1"/>
        <v>0</v>
      </c>
      <c r="L29" s="46" t="s">
        <v>35</v>
      </c>
      <c r="O29" s="112"/>
      <c r="S29" s="28"/>
      <c r="T29" s="106"/>
      <c r="U29" s="107"/>
      <c r="V29" s="108" t="s">
        <v>543</v>
      </c>
      <c r="W29" s="113">
        <f>IF(W28&gt;W20,0,IF(W28=0,W20,W20-W28))</f>
        <v>12570</v>
      </c>
      <c r="X29" s="114"/>
      <c r="Y29" s="114"/>
      <c r="Z29" s="114"/>
      <c r="AA29" s="108" t="s">
        <v>543</v>
      </c>
      <c r="AB29" s="108"/>
      <c r="AC29" s="113">
        <f>IF(AC28&gt;AC20,0,IF(AC28=0,AC20,AC20-AC28))</f>
        <v>12570</v>
      </c>
      <c r="AD29" s="115"/>
      <c r="AE29" s="115"/>
    </row>
    <row r="30" spans="1:47" ht="12.75" customHeight="1">
      <c r="B30" s="44"/>
      <c r="J30" s="45">
        <f t="shared" si="0"/>
        <v>0</v>
      </c>
      <c r="K30" s="45">
        <f t="shared" si="1"/>
        <v>0</v>
      </c>
      <c r="T30" s="106"/>
      <c r="U30" s="107"/>
      <c r="V30" s="114" t="s">
        <v>544</v>
      </c>
      <c r="W30" s="113">
        <f>100000+(W20*2)</f>
        <v>125140</v>
      </c>
      <c r="X30" s="114"/>
      <c r="Y30" s="114"/>
      <c r="Z30" s="114"/>
      <c r="AA30" s="114" t="s">
        <v>544</v>
      </c>
      <c r="AB30" s="114"/>
      <c r="AC30" s="113">
        <f>100000+(AC20*2)</f>
        <v>125140</v>
      </c>
      <c r="AD30" s="115"/>
      <c r="AE30" s="115"/>
    </row>
    <row r="31" spans="1:47" ht="12.75" customHeight="1">
      <c r="A31" s="34" t="s">
        <v>514</v>
      </c>
      <c r="B31" s="44"/>
      <c r="J31" s="45">
        <f>IF(D31="",0,IF(E31="Annually",D31*B31,IF(E31="Monthly",D31*B31*12,D31*B31*52)))</f>
        <v>0</v>
      </c>
      <c r="K31" s="45">
        <f t="shared" si="1"/>
        <v>0</v>
      </c>
      <c r="T31" s="28"/>
      <c r="U31" s="82"/>
      <c r="V31" s="116"/>
      <c r="W31" s="116"/>
      <c r="X31" s="116"/>
      <c r="Y31" s="116"/>
      <c r="Z31" s="116"/>
      <c r="AA31" s="116"/>
      <c r="AB31" s="116"/>
      <c r="AC31" s="116"/>
      <c r="AD31" s="115"/>
      <c r="AE31" s="115"/>
    </row>
    <row r="32" spans="1:47" ht="12.75" customHeight="1">
      <c r="O32" s="112"/>
      <c r="P32" s="112"/>
      <c r="Q32" s="112"/>
      <c r="R32" s="28"/>
      <c r="S32" s="28"/>
      <c r="T32" s="28"/>
      <c r="U32" s="82"/>
      <c r="V32" s="24" t="s">
        <v>545</v>
      </c>
      <c r="W32" s="89"/>
      <c r="X32" s="82"/>
      <c r="Y32" s="82"/>
      <c r="Z32" s="82"/>
      <c r="AA32" s="24" t="s">
        <v>545</v>
      </c>
      <c r="AB32" s="82"/>
      <c r="AC32" s="89"/>
      <c r="AD32" s="117"/>
    </row>
    <row r="33" spans="1:31" ht="12.75" customHeight="1">
      <c r="A33" s="35" t="s">
        <v>47</v>
      </c>
      <c r="B33" s="95">
        <v>0.5</v>
      </c>
      <c r="D33" s="10">
        <v>0</v>
      </c>
      <c r="E33" s="9" t="s">
        <v>49</v>
      </c>
      <c r="G33" s="10">
        <v>0</v>
      </c>
      <c r="H33" s="9" t="s">
        <v>49</v>
      </c>
      <c r="J33" s="45">
        <f t="shared" ref="J33:J40" si="2">IF(D33="",0,IF(E33="Annually",D33*B33,IF(E33="Monthly",D33*B33*12,D33*B33*52)))</f>
        <v>0</v>
      </c>
      <c r="K33" s="45">
        <f t="shared" ref="K33:K40" si="3">IF(G33="",0,IF(H33="Annually",G33*B33,IF(H33="Monthly",G33*B33*12,G33*B33*52)))</f>
        <v>0</v>
      </c>
      <c r="N33" s="118"/>
      <c r="O33" s="119"/>
      <c r="P33" s="119"/>
      <c r="Q33" s="119"/>
      <c r="R33" s="28"/>
      <c r="S33" s="28"/>
      <c r="T33" s="28"/>
      <c r="U33" s="82"/>
      <c r="V33" s="82" t="s">
        <v>436</v>
      </c>
      <c r="W33" s="120">
        <f>IF(W20&gt;W19,W17,IF(W19&gt;W30,0,IF(W29&gt;W17,W17,W29)))</f>
        <v>0</v>
      </c>
      <c r="X33" s="121">
        <v>0</v>
      </c>
      <c r="Y33" s="89">
        <f>X33*W33</f>
        <v>0</v>
      </c>
      <c r="Z33" s="82"/>
      <c r="AA33" s="82" t="s">
        <v>436</v>
      </c>
      <c r="AB33" s="82"/>
      <c r="AC33" s="120">
        <f>IF(AC20&gt;AC19,AC17,IF(AC19&gt;AC30,0,IF(AC29&gt;AC17,AC17,AC29)))</f>
        <v>0</v>
      </c>
      <c r="AD33" s="122">
        <v>0</v>
      </c>
      <c r="AE33" s="123">
        <f>AD33*AC33</f>
        <v>0</v>
      </c>
    </row>
    <row r="34" spans="1:31" ht="12.75" customHeight="1">
      <c r="A34" s="35" t="s">
        <v>515</v>
      </c>
      <c r="B34" s="95">
        <v>0.5</v>
      </c>
      <c r="D34" s="10">
        <v>0</v>
      </c>
      <c r="E34" s="9" t="s">
        <v>49</v>
      </c>
      <c r="G34" s="10">
        <v>0</v>
      </c>
      <c r="H34" s="9" t="s">
        <v>49</v>
      </c>
      <c r="J34" s="45">
        <f t="shared" si="2"/>
        <v>0</v>
      </c>
      <c r="K34" s="45">
        <f t="shared" si="3"/>
        <v>0</v>
      </c>
      <c r="N34" s="46" t="s">
        <v>56</v>
      </c>
      <c r="O34" s="112">
        <f>IF(O23+J48&lt;Q15,0,IF(O23+J48&gt;$Q$16,$Q$17*$P$15,(O23+J48-Q15)*$P$15))</f>
        <v>0</v>
      </c>
      <c r="P34" s="112"/>
      <c r="Q34" s="112">
        <f>IF(Q23+K48&lt;Q15,0,IF(Q23+K48&gt;$Q$16,$Q$17*$P$15,(Q23+K48-Q15)*$P$15))</f>
        <v>0</v>
      </c>
      <c r="R34" s="28"/>
      <c r="V34" s="44" t="s">
        <v>546</v>
      </c>
      <c r="W34" s="124">
        <f>IF(W17&lt;(W23+W33),W17-W33,IF(W17&lt;W24,W23,W23))</f>
        <v>0</v>
      </c>
      <c r="X34" s="125">
        <f>X23</f>
        <v>0.2</v>
      </c>
      <c r="Y34" s="123">
        <f>X34*W34</f>
        <v>0</v>
      </c>
      <c r="AA34" s="44" t="s">
        <v>546</v>
      </c>
      <c r="AC34" s="124">
        <f>IF(AC17&lt;(AC23+AC33),AC17-AC33,IF(AC17&lt;AC24,AC23,AC23))</f>
        <v>0</v>
      </c>
      <c r="AD34" s="122">
        <f>AD23</f>
        <v>0.2</v>
      </c>
      <c r="AE34" s="123">
        <f t="shared" ref="AE34:AE36" si="4">AD34*AC34</f>
        <v>0</v>
      </c>
    </row>
    <row r="35" spans="1:31" ht="12.75" customHeight="1">
      <c r="A35" s="35" t="s">
        <v>44</v>
      </c>
      <c r="B35" s="95">
        <v>0.5</v>
      </c>
      <c r="D35" s="10">
        <v>0</v>
      </c>
      <c r="E35" s="9" t="s">
        <v>49</v>
      </c>
      <c r="G35" s="10">
        <v>0</v>
      </c>
      <c r="H35" s="9" t="s">
        <v>49</v>
      </c>
      <c r="J35" s="45">
        <f t="shared" si="2"/>
        <v>0</v>
      </c>
      <c r="K35" s="45">
        <f t="shared" si="3"/>
        <v>0</v>
      </c>
      <c r="N35" s="46" t="s">
        <v>57</v>
      </c>
      <c r="O35" s="112">
        <f>IF(O23+J48&lt;$Q$16,0,(O23+J48-$Q$16)*$P$16)</f>
        <v>0</v>
      </c>
      <c r="P35" s="112"/>
      <c r="Q35" s="112">
        <f>IF(Q23+K48&lt;$Q$16,0,(Q23+K48-$Q$16)*$P$16)</f>
        <v>0</v>
      </c>
      <c r="R35" s="28"/>
      <c r="T35" s="28"/>
      <c r="U35" s="82"/>
      <c r="V35" s="82" t="s">
        <v>541</v>
      </c>
      <c r="W35" s="120">
        <f>IF(W17&lt;W23+W29,0,IF(W17&lt;W24,W17-W34-W33,W24-W23))</f>
        <v>0</v>
      </c>
      <c r="X35" s="121">
        <f t="shared" ref="X35:X36" si="5">X24</f>
        <v>0.4</v>
      </c>
      <c r="Y35" s="89">
        <f t="shared" ref="Y35:Y36" si="6">X35*W35</f>
        <v>0</v>
      </c>
      <c r="Z35" s="82"/>
      <c r="AA35" s="82" t="s">
        <v>541</v>
      </c>
      <c r="AB35" s="82"/>
      <c r="AC35" s="120">
        <f>IF(AC17&lt;AC23+AC29,0,IF(AC17&lt;AC24,AC17-AC34-AC33,AC24-AC23))</f>
        <v>0</v>
      </c>
      <c r="AD35" s="122">
        <f t="shared" ref="AD35:AD36" si="7">AD24</f>
        <v>0.4</v>
      </c>
      <c r="AE35" s="123">
        <f t="shared" si="4"/>
        <v>0</v>
      </c>
    </row>
    <row r="36" spans="1:31" ht="12.75" customHeight="1">
      <c r="A36" s="35" t="s">
        <v>456</v>
      </c>
      <c r="B36" s="95">
        <v>0.5</v>
      </c>
      <c r="D36" s="10">
        <v>0</v>
      </c>
      <c r="E36" s="9" t="s">
        <v>49</v>
      </c>
      <c r="G36" s="10">
        <v>0</v>
      </c>
      <c r="H36" s="9" t="s">
        <v>49</v>
      </c>
      <c r="J36" s="45">
        <f t="shared" si="2"/>
        <v>0</v>
      </c>
      <c r="K36" s="45">
        <f t="shared" si="3"/>
        <v>0</v>
      </c>
      <c r="N36" s="118"/>
      <c r="O36" s="119"/>
      <c r="P36" s="119"/>
      <c r="Q36" s="119"/>
      <c r="R36" s="28"/>
      <c r="T36" s="28"/>
      <c r="U36" s="82"/>
      <c r="V36" s="82" t="s">
        <v>434</v>
      </c>
      <c r="W36" s="120">
        <f>IF(W17&lt;W24,0,W17-W24)</f>
        <v>0</v>
      </c>
      <c r="X36" s="121">
        <f t="shared" si="5"/>
        <v>0.45</v>
      </c>
      <c r="Y36" s="89">
        <f t="shared" si="6"/>
        <v>0</v>
      </c>
      <c r="Z36" s="82"/>
      <c r="AA36" s="82" t="s">
        <v>434</v>
      </c>
      <c r="AB36" s="82"/>
      <c r="AC36" s="120">
        <f>IF(AC17&lt;AC24,0,AC17-AC24)</f>
        <v>0</v>
      </c>
      <c r="AD36" s="122">
        <f t="shared" si="7"/>
        <v>0.45</v>
      </c>
      <c r="AE36" s="123">
        <f t="shared" si="4"/>
        <v>0</v>
      </c>
    </row>
    <row r="37" spans="1:31" ht="12.75" customHeight="1" thickBot="1">
      <c r="A37" s="35" t="s">
        <v>516</v>
      </c>
      <c r="B37" s="95">
        <v>0.5</v>
      </c>
      <c r="D37" s="10">
        <v>0</v>
      </c>
      <c r="E37" s="9" t="s">
        <v>49</v>
      </c>
      <c r="G37" s="10">
        <v>0</v>
      </c>
      <c r="H37" s="9" t="s">
        <v>49</v>
      </c>
      <c r="J37" s="45">
        <f t="shared" si="2"/>
        <v>0</v>
      </c>
      <c r="K37" s="45">
        <f t="shared" si="3"/>
        <v>0</v>
      </c>
      <c r="N37" s="46" t="s">
        <v>58</v>
      </c>
      <c r="O37" s="119">
        <f>Y34</f>
        <v>0</v>
      </c>
      <c r="P37" s="119"/>
      <c r="Q37" s="119">
        <f>AE34</f>
        <v>0</v>
      </c>
      <c r="R37" s="112"/>
      <c r="T37" s="28"/>
      <c r="U37" s="82"/>
      <c r="V37" s="82"/>
      <c r="W37" s="120">
        <f>SUM(W33:W36)</f>
        <v>0</v>
      </c>
      <c r="X37" s="82"/>
      <c r="Y37" s="126">
        <f>SUM(Y33:Y36)</f>
        <v>0</v>
      </c>
      <c r="Z37" s="82"/>
      <c r="AA37" s="82"/>
      <c r="AB37" s="82"/>
      <c r="AC37" s="120">
        <f>SUM(AC33:AC36)</f>
        <v>0</v>
      </c>
      <c r="AE37" s="127">
        <f>SUM(AE33:AE36)</f>
        <v>0</v>
      </c>
    </row>
    <row r="38" spans="1:31" ht="12.75" customHeight="1" thickTop="1">
      <c r="A38" s="35"/>
      <c r="B38" s="95"/>
      <c r="J38" s="45">
        <f t="shared" si="2"/>
        <v>0</v>
      </c>
      <c r="K38" s="45">
        <f t="shared" si="3"/>
        <v>0</v>
      </c>
      <c r="N38" s="46" t="s">
        <v>59</v>
      </c>
      <c r="O38" s="119">
        <f>Y35</f>
        <v>0</v>
      </c>
      <c r="P38" s="119"/>
      <c r="Q38" s="119">
        <f>AE35</f>
        <v>0</v>
      </c>
      <c r="R38" s="112"/>
      <c r="T38" s="28"/>
      <c r="U38" s="82"/>
      <c r="V38" s="128"/>
      <c r="W38" s="128"/>
      <c r="X38" s="128"/>
      <c r="Y38" s="89"/>
      <c r="Z38" s="128"/>
      <c r="AA38" s="128"/>
      <c r="AB38" s="128"/>
      <c r="AC38" s="128"/>
      <c r="AD38" s="129"/>
      <c r="AE38" s="123"/>
    </row>
    <row r="39" spans="1:31" ht="12.75" customHeight="1">
      <c r="A39" s="92"/>
      <c r="B39" s="95"/>
      <c r="J39" s="45">
        <f t="shared" si="2"/>
        <v>0</v>
      </c>
      <c r="K39" s="45">
        <f t="shared" si="3"/>
        <v>0</v>
      </c>
      <c r="N39" s="46" t="s">
        <v>115</v>
      </c>
      <c r="O39" s="119">
        <f>Y36</f>
        <v>0</v>
      </c>
      <c r="P39" s="119"/>
      <c r="Q39" s="119">
        <f>AE36</f>
        <v>0</v>
      </c>
      <c r="R39" s="112"/>
      <c r="T39" s="28"/>
      <c r="U39" s="82"/>
      <c r="V39" s="24" t="s">
        <v>547</v>
      </c>
      <c r="W39" s="128"/>
      <c r="X39" s="128"/>
      <c r="Y39" s="89"/>
      <c r="Z39" s="128"/>
      <c r="AA39" s="24" t="s">
        <v>547</v>
      </c>
      <c r="AB39" s="128"/>
      <c r="AC39" s="128"/>
      <c r="AD39" s="129"/>
      <c r="AE39" s="123"/>
    </row>
    <row r="40" spans="1:31" ht="12.75" customHeight="1">
      <c r="A40" s="34" t="s">
        <v>517</v>
      </c>
      <c r="B40" s="95"/>
      <c r="J40" s="45">
        <f t="shared" si="2"/>
        <v>0</v>
      </c>
      <c r="K40" s="45">
        <f t="shared" si="3"/>
        <v>0</v>
      </c>
      <c r="T40" s="28"/>
      <c r="U40" s="82"/>
      <c r="V40" s="82" t="s">
        <v>436</v>
      </c>
      <c r="W40" s="120">
        <f>IF(W18=0,0,IF(W33&gt;=W29,0,IF(W19&lt;W29,W19-W33,W29-W33)))</f>
        <v>0</v>
      </c>
      <c r="X40" s="121">
        <v>0</v>
      </c>
      <c r="Y40" s="89">
        <f>X40*W40</f>
        <v>0</v>
      </c>
      <c r="Z40" s="82"/>
      <c r="AA40" s="82" t="s">
        <v>436</v>
      </c>
      <c r="AB40" s="82"/>
      <c r="AC40" s="120">
        <f>IF(AC18=0,0,IF(AC33&gt;=AC29,0,IF(AC19&lt;AC29,AC19-AC33,AC29-AC33)))</f>
        <v>0</v>
      </c>
      <c r="AD40" s="125">
        <v>0</v>
      </c>
      <c r="AE40" s="123">
        <f>AD40*AC40</f>
        <v>0</v>
      </c>
    </row>
    <row r="41" spans="1:31" ht="12.75" customHeight="1">
      <c r="A41" s="92"/>
      <c r="B41" s="95"/>
      <c r="V41" s="44" t="s">
        <v>548</v>
      </c>
      <c r="W41" s="124">
        <f>W22</f>
        <v>500</v>
      </c>
      <c r="X41" s="125">
        <v>0</v>
      </c>
      <c r="Y41" s="123">
        <f>X41*W41</f>
        <v>0</v>
      </c>
      <c r="Z41" s="129"/>
      <c r="AA41" s="44" t="s">
        <v>548</v>
      </c>
      <c r="AB41" s="129"/>
      <c r="AC41" s="124">
        <f>AC22</f>
        <v>500</v>
      </c>
      <c r="AD41" s="130">
        <v>0</v>
      </c>
      <c r="AE41" s="123">
        <f>AD41*AC41</f>
        <v>0</v>
      </c>
    </row>
    <row r="42" spans="1:31" ht="12.75" customHeight="1">
      <c r="A42" s="92" t="s">
        <v>134</v>
      </c>
      <c r="B42" s="95">
        <v>1</v>
      </c>
      <c r="D42" s="10">
        <v>0</v>
      </c>
      <c r="E42" s="9" t="s">
        <v>49</v>
      </c>
      <c r="G42" s="10">
        <v>0</v>
      </c>
      <c r="H42" s="9" t="s">
        <v>49</v>
      </c>
      <c r="J42" s="45">
        <f>IF(D42="",0,IF(E42="Annually",D42*B42,IF(E42="Monthly",D42*B42*12,D42*B42*52)))</f>
        <v>0</v>
      </c>
      <c r="K42" s="45">
        <f>IF(G42="",0,IF(H42="Annually",G42*B42,IF(H42="Monthly",G42*B42*12,G42*B42*52)))</f>
        <v>0</v>
      </c>
      <c r="V42" s="44" t="s">
        <v>546</v>
      </c>
      <c r="W42" s="124">
        <f>IF(W18=0,0,IF(W18&lt;=W41+W40,0,IF(W34&gt;=W23,0,IF(W23-W34&lt;W18-W41-W40,W23-W34-W22,W18-W41-W40))))</f>
        <v>0</v>
      </c>
      <c r="X42" s="131">
        <f>Y23</f>
        <v>8.7499999999999994E-2</v>
      </c>
      <c r="Y42" s="123">
        <f>X42*W42</f>
        <v>0</v>
      </c>
      <c r="AA42" s="44" t="s">
        <v>546</v>
      </c>
      <c r="AC42" s="124">
        <f>IF(AC18=0,0,IF(AC18&lt;=AC41+AC40,0,IF(AC34&gt;=AC23,0,IF(AC23-AC34&lt;AC18-AC41-AC40,AC23-AC34-AC22,AC18-AC41-AC40))))</f>
        <v>0</v>
      </c>
      <c r="AD42" s="132">
        <f>AE23</f>
        <v>8.7499999999999994E-2</v>
      </c>
      <c r="AE42" s="123">
        <f>AD42*AC42</f>
        <v>0</v>
      </c>
    </row>
    <row r="43" spans="1:31" ht="12.75" customHeight="1">
      <c r="A43" s="92" t="s">
        <v>135</v>
      </c>
      <c r="B43" s="95">
        <v>1</v>
      </c>
      <c r="D43" s="10">
        <v>0</v>
      </c>
      <c r="E43" s="9" t="s">
        <v>49</v>
      </c>
      <c r="G43" s="10">
        <v>0</v>
      </c>
      <c r="H43" s="9" t="s">
        <v>49</v>
      </c>
      <c r="J43" s="45">
        <f>IF(D43="",0,IF(E43="Annually",D43*B43,IF(E43="Monthly",D43*B43*12,D43*B43*52)))</f>
        <v>0</v>
      </c>
      <c r="K43" s="45">
        <f>IF(G43="",0,IF(H43="Annually",G43*B43,IF(H43="Monthly",G43*B43*12,G43*B43*52)))</f>
        <v>0</v>
      </c>
      <c r="N43" s="93" t="s">
        <v>38</v>
      </c>
      <c r="O43" s="119"/>
      <c r="P43" s="119"/>
      <c r="Q43" s="119"/>
      <c r="R43" s="28"/>
      <c r="S43" s="133"/>
      <c r="V43" s="44" t="s">
        <v>541</v>
      </c>
      <c r="W43" s="124">
        <f>IF(W18=0,0,IF(W18&lt;=W42+W41+W40,0,IF(W35+W34=W24,0,IF(W18-W42-W41-W40&lt;W24-W23-W35,W18-W42-W41-W40,IF(W35&gt;0,W24-W23-W22-W35,IF(W19&gt;W24,W24-W23,W24-W23-W35-W22))))))</f>
        <v>0</v>
      </c>
      <c r="X43" s="131">
        <f>Y24</f>
        <v>0.33750000000000002</v>
      </c>
      <c r="Y43" s="123">
        <f>X43*W43</f>
        <v>0</v>
      </c>
      <c r="AA43" s="44" t="s">
        <v>541</v>
      </c>
      <c r="AC43" s="124">
        <f>IF(AC18=0,0,IF(AC18&lt;=AC42+AC41+AC40,0,IF(AC35+AC34=AC24,0,IF(AC18-AC42-AC41-AC40&lt;AC24-AC23-AC35,AC18-AC42-AC41-AC40,IF(AC35&gt;0,AC24-AC23-AC22-AC35,IF(AC19&gt;AC24,AC24-AC23,AC24-AC23-AC35-AC22))))))</f>
        <v>0</v>
      </c>
      <c r="AD43" s="131">
        <f>AE24</f>
        <v>0.33750000000000002</v>
      </c>
      <c r="AE43" s="123">
        <f>AD43*AC43</f>
        <v>0</v>
      </c>
    </row>
    <row r="44" spans="1:31" ht="12.75" customHeight="1">
      <c r="A44" s="92" t="s">
        <v>136</v>
      </c>
      <c r="B44" s="95">
        <v>1</v>
      </c>
      <c r="D44" s="10">
        <v>0</v>
      </c>
      <c r="E44" s="9" t="s">
        <v>49</v>
      </c>
      <c r="G44" s="10">
        <v>0</v>
      </c>
      <c r="H44" s="9" t="s">
        <v>49</v>
      </c>
      <c r="J44" s="45">
        <f>IF(D44="",0,IF(E44="Annually",D44*B44,IF(E44="Monthly",D44*B44*12,D44*B44*52)))</f>
        <v>0</v>
      </c>
      <c r="K44" s="45">
        <f>IF(G44="",0,IF(H44="Annually",G44*B44,IF(H44="Monthly",G44*B44*12,G44*B44*52)))</f>
        <v>0</v>
      </c>
      <c r="N44" s="94"/>
      <c r="O44" s="119"/>
      <c r="P44" s="119"/>
      <c r="Q44" s="119"/>
      <c r="R44" s="28"/>
      <c r="S44" s="133"/>
      <c r="V44" s="44" t="s">
        <v>434</v>
      </c>
      <c r="W44" s="124">
        <f>IF(W18=0,0,IF(W18&lt;=W43+W42+W41+W40,0,W18-W43-W42-W41-W40))</f>
        <v>0</v>
      </c>
      <c r="X44" s="131">
        <f>Y25</f>
        <v>0.39350000000000002</v>
      </c>
      <c r="Y44" s="123">
        <f>X44*W44</f>
        <v>0</v>
      </c>
      <c r="AA44" s="44" t="s">
        <v>434</v>
      </c>
      <c r="AC44" s="124">
        <f>IF(AC18=0,0,IF(AC18&lt;=AC43+AC42+AC41+AC40,0,AC18-AC43-AC42-AC41-AC40))</f>
        <v>0</v>
      </c>
      <c r="AD44" s="131">
        <f>AE25</f>
        <v>0.39350000000000002</v>
      </c>
      <c r="AE44" s="123">
        <f>AD44*AC44</f>
        <v>0</v>
      </c>
    </row>
    <row r="45" spans="1:31" ht="12.75" customHeight="1" thickBot="1">
      <c r="A45" s="92"/>
      <c r="B45" s="95"/>
      <c r="C45" s="92"/>
      <c r="D45" s="95"/>
      <c r="E45" s="92"/>
      <c r="F45" s="95"/>
      <c r="G45" s="92"/>
      <c r="H45" s="95"/>
      <c r="J45" s="45">
        <f>IF(D45="",0,IF(E45="Annually",D45*B45,IF(E45="Monthly",D45*B45*12,D45*B45*52)))</f>
        <v>0</v>
      </c>
      <c r="K45" s="45">
        <f>IF(G45="",0,IF(H45="Annually",G45*B45,IF(H45="Monthly",G45*B45*12,G45*B45*52)))</f>
        <v>0</v>
      </c>
      <c r="L45" s="46" t="s">
        <v>35</v>
      </c>
      <c r="N45" s="46" t="s">
        <v>147</v>
      </c>
      <c r="O45" s="112">
        <f>IF(D12="No",O34+O35,0)</f>
        <v>0</v>
      </c>
      <c r="P45" s="112"/>
      <c r="Q45" s="112">
        <f>IF(G12="No",Q34+Q35,0)</f>
        <v>0</v>
      </c>
      <c r="R45" s="28"/>
      <c r="S45" s="133"/>
      <c r="W45" s="124">
        <f>SUM(W40:W44)</f>
        <v>500</v>
      </c>
      <c r="Y45" s="127">
        <f>SUM(Y40:Y44)</f>
        <v>0</v>
      </c>
      <c r="AC45" s="124">
        <f>SUM(AC40:AC44)</f>
        <v>500</v>
      </c>
      <c r="AE45" s="127">
        <f>SUM(AE40:AE44)</f>
        <v>0</v>
      </c>
    </row>
    <row r="46" spans="1:31" ht="12.75" customHeight="1" thickTop="1">
      <c r="A46" s="34" t="s">
        <v>190</v>
      </c>
      <c r="B46" s="95"/>
      <c r="C46" s="92"/>
      <c r="D46" s="95"/>
      <c r="E46" s="92"/>
      <c r="F46" s="95"/>
      <c r="G46" s="92"/>
      <c r="H46" s="95"/>
      <c r="J46" s="45">
        <f>IF(D46="",0,IF(E46="Annually",D46*B46,IF(E46="Monthly",D46*B46*12,D46*B46*52)))</f>
        <v>0</v>
      </c>
      <c r="K46" s="45">
        <f>IF(G46="",0,IF(H46="Annually",G46*B46,IF(H46="Monthly",G46*B46*12,G46*B46*52)))</f>
        <v>0</v>
      </c>
      <c r="N46" s="46" t="s">
        <v>439</v>
      </c>
      <c r="O46" s="112">
        <f>SUM(O37:O39)</f>
        <v>0</v>
      </c>
      <c r="P46" s="112"/>
      <c r="Q46" s="112">
        <f>SUM(Q37:Q39)</f>
        <v>0</v>
      </c>
      <c r="R46" s="28"/>
      <c r="S46" s="28" t="s">
        <v>107</v>
      </c>
    </row>
    <row r="47" spans="1:31" ht="12.75" customHeight="1">
      <c r="A47" s="92"/>
      <c r="B47" s="95"/>
      <c r="N47" s="46" t="s">
        <v>440</v>
      </c>
      <c r="O47" s="119">
        <f>Y45</f>
        <v>0</v>
      </c>
      <c r="P47" s="119"/>
      <c r="Q47" s="119">
        <f>AE45</f>
        <v>0</v>
      </c>
      <c r="R47" s="28"/>
      <c r="S47" s="28"/>
    </row>
    <row r="48" spans="1:31" ht="12.75" customHeight="1">
      <c r="A48" s="92" t="s">
        <v>137</v>
      </c>
      <c r="B48" s="95">
        <v>1</v>
      </c>
      <c r="D48" s="1">
        <v>0</v>
      </c>
      <c r="E48" s="9" t="s">
        <v>8</v>
      </c>
      <c r="G48" s="1">
        <v>0</v>
      </c>
      <c r="H48" s="9" t="s">
        <v>8</v>
      </c>
      <c r="J48" s="45">
        <f>IF(D48="",0,IF(E48="Annually",D48*B48,IF(E48="Monthly",D48*B48*12,D48*B48*52)))</f>
        <v>0</v>
      </c>
      <c r="K48" s="45">
        <f>IF(G48="",0,IF(H48="Annually",G48*B48,IF(H48="Monthly",G48*B48*12,G48*B48*52)))</f>
        <v>0</v>
      </c>
      <c r="L48" s="94"/>
      <c r="N48" s="46" t="s">
        <v>191</v>
      </c>
      <c r="O48" s="112">
        <f>J54+J55</f>
        <v>0</v>
      </c>
      <c r="P48" s="112"/>
      <c r="Q48" s="112">
        <f>K54+K55</f>
        <v>0</v>
      </c>
    </row>
    <row r="49" spans="1:17" ht="12.75" customHeight="1">
      <c r="A49" s="92" t="s">
        <v>110</v>
      </c>
      <c r="B49" s="95">
        <v>1</v>
      </c>
      <c r="D49" s="1">
        <v>0</v>
      </c>
      <c r="E49" s="9" t="s">
        <v>8</v>
      </c>
      <c r="G49" s="1">
        <v>0</v>
      </c>
      <c r="H49" s="9" t="s">
        <v>8</v>
      </c>
      <c r="J49" s="45">
        <f>IF(D49="",0,IF(E49="Annually",D49*B49,IF(E49="Monthly",D49*B49*12,D49*B49*52)))</f>
        <v>0</v>
      </c>
      <c r="K49" s="45">
        <f>IF(G49="",0,IF(H49="Annually",G49*B49,IF(H49="Monthly",G49*B49*12,G49*B49*52)))</f>
        <v>0</v>
      </c>
      <c r="M49" s="94"/>
      <c r="N49" s="94" t="s">
        <v>60</v>
      </c>
      <c r="O49" s="134">
        <f>SUM(O45:O48)</f>
        <v>0</v>
      </c>
      <c r="P49" s="134"/>
      <c r="Q49" s="134">
        <f>SUM(Q45:Q48)</f>
        <v>0</v>
      </c>
    </row>
    <row r="50" spans="1:17" ht="12.75" customHeight="1">
      <c r="A50" s="92" t="s">
        <v>37</v>
      </c>
      <c r="B50" s="95">
        <v>1</v>
      </c>
      <c r="D50" s="1">
        <v>0</v>
      </c>
      <c r="E50" s="9" t="s">
        <v>8</v>
      </c>
      <c r="G50" s="1">
        <v>0</v>
      </c>
      <c r="H50" s="9" t="s">
        <v>8</v>
      </c>
      <c r="J50" s="45">
        <f>IF(D50="",0,IF(E50="Annually",D50*B50,IF(E50="Monthly",D50*B50*12,D50*B50*52)))</f>
        <v>0</v>
      </c>
      <c r="K50" s="45">
        <f>IF(G50="",0,IF(H50="Annually",G50*B50,IF(H50="Monthly",G50*B50*12,G50*B50*52)))</f>
        <v>0</v>
      </c>
      <c r="O50" s="112"/>
      <c r="P50" s="112"/>
      <c r="Q50" s="112"/>
    </row>
    <row r="51" spans="1:17" ht="12.75" customHeight="1">
      <c r="A51" s="92"/>
      <c r="B51" s="95"/>
    </row>
    <row r="52" spans="1:17" ht="12.75" customHeight="1">
      <c r="A52" s="34" t="s">
        <v>189</v>
      </c>
      <c r="B52" s="44"/>
      <c r="N52" s="135" t="s">
        <v>442</v>
      </c>
      <c r="O52" s="136">
        <f>SUM(O21-O49)</f>
        <v>0</v>
      </c>
      <c r="P52" s="136"/>
      <c r="Q52" s="136">
        <f>SUM(Q21-Q49)</f>
        <v>0</v>
      </c>
    </row>
    <row r="53" spans="1:17" ht="12.75" customHeight="1">
      <c r="B53" s="91"/>
      <c r="D53" s="137"/>
      <c r="G53" s="137"/>
      <c r="N53" s="138"/>
      <c r="O53" s="135"/>
      <c r="P53" s="136"/>
      <c r="Q53" s="136"/>
    </row>
    <row r="54" spans="1:17" ht="12.75" customHeight="1">
      <c r="A54" s="92" t="s">
        <v>109</v>
      </c>
      <c r="B54" s="95">
        <v>1</v>
      </c>
      <c r="D54" s="10">
        <v>0</v>
      </c>
      <c r="E54" s="9" t="s">
        <v>8</v>
      </c>
      <c r="G54" s="10">
        <v>0</v>
      </c>
      <c r="H54" s="9" t="s">
        <v>8</v>
      </c>
      <c r="J54" s="45">
        <f>IF(D54="",0,IF(E54="Annually",D54*B54,IF(E54="Monthly",D54*B54*12,D54*B54*52)))</f>
        <v>0</v>
      </c>
      <c r="K54" s="45">
        <f>IF(G54="",0,IF(H54="Annually",G54*B54,IF(H54="Monthly",G54*B54*12,G54*B54*52)))</f>
        <v>0</v>
      </c>
      <c r="N54" s="135" t="s">
        <v>208</v>
      </c>
      <c r="O54" s="139">
        <f>SUM(O52/12)</f>
        <v>0</v>
      </c>
      <c r="P54" s="135"/>
      <c r="Q54" s="136">
        <f>SUM(Q52/12)</f>
        <v>0</v>
      </c>
    </row>
    <row r="55" spans="1:17" ht="12.75" customHeight="1">
      <c r="A55" s="92" t="s">
        <v>37</v>
      </c>
      <c r="B55" s="95">
        <v>1</v>
      </c>
      <c r="D55" s="10">
        <v>0</v>
      </c>
      <c r="E55" s="9" t="s">
        <v>8</v>
      </c>
      <c r="G55" s="10">
        <v>0</v>
      </c>
      <c r="H55" s="9" t="s">
        <v>8</v>
      </c>
      <c r="J55" s="45">
        <f>IF(D55="",0,IF(E55="Annually",D55*B55,IF(E55="Monthly",D55*B55*12,D55*B55*52)))</f>
        <v>0</v>
      </c>
      <c r="K55" s="45">
        <f>IF(G55="",0,IF(H55="Annually",G55*B55,IF(H55="Monthly",G55*B55*12,G55*B55*52)))</f>
        <v>0</v>
      </c>
      <c r="N55" s="118"/>
      <c r="O55" s="112"/>
      <c r="P55" s="112"/>
      <c r="Q55" s="112"/>
    </row>
    <row r="56" spans="1:17" ht="12.75" customHeight="1">
      <c r="O56" s="49"/>
    </row>
    <row r="57" spans="1:17" ht="12.75" customHeight="1">
      <c r="A57" s="92" t="s">
        <v>442</v>
      </c>
      <c r="D57" s="129">
        <f>O52</f>
        <v>0</v>
      </c>
      <c r="E57" s="44" t="s">
        <v>49</v>
      </c>
      <c r="G57" s="129">
        <f>Q52</f>
        <v>0</v>
      </c>
      <c r="H57" s="44" t="s">
        <v>49</v>
      </c>
      <c r="N57" s="118"/>
    </row>
    <row r="58" spans="1:17" ht="12.75" customHeight="1">
      <c r="N58" s="118"/>
    </row>
    <row r="59" spans="1:17" ht="12.75" customHeight="1">
      <c r="A59" s="92" t="s">
        <v>208</v>
      </c>
      <c r="B59" s="91"/>
      <c r="D59" s="140">
        <f>O54</f>
        <v>0</v>
      </c>
      <c r="E59" s="44" t="s">
        <v>8</v>
      </c>
      <c r="G59" s="140">
        <f>Q54</f>
        <v>0</v>
      </c>
      <c r="H59" s="44" t="str">
        <f>E59</f>
        <v>Monthly</v>
      </c>
      <c r="N59" s="118"/>
    </row>
    <row r="60" spans="1:17" ht="12.75" customHeight="1">
      <c r="N60" s="118"/>
      <c r="O60" s="112"/>
    </row>
    <row r="61" spans="1:17" ht="12.75" customHeight="1">
      <c r="A61" s="497" t="s">
        <v>215</v>
      </c>
      <c r="B61" s="497"/>
      <c r="C61" s="497"/>
      <c r="D61" s="497"/>
      <c r="E61" s="497"/>
      <c r="F61" s="497"/>
      <c r="G61" s="497"/>
      <c r="H61" s="497"/>
      <c r="O61" s="141"/>
    </row>
    <row r="62" spans="1:17" ht="12.75" customHeight="1">
      <c r="O62" s="112"/>
    </row>
    <row r="63" spans="1:17">
      <c r="A63" s="142" t="s">
        <v>108</v>
      </c>
      <c r="B63" s="91"/>
      <c r="D63" s="137"/>
      <c r="G63" s="137"/>
      <c r="M63" s="487" t="s">
        <v>441</v>
      </c>
      <c r="N63" s="488"/>
      <c r="O63" s="143"/>
    </row>
    <row r="64" spans="1:17">
      <c r="A64" s="92" t="s">
        <v>561</v>
      </c>
      <c r="B64" s="95">
        <v>1</v>
      </c>
      <c r="D64" s="10">
        <v>0</v>
      </c>
      <c r="E64" s="44" t="s">
        <v>8</v>
      </c>
      <c r="G64" s="10">
        <v>0</v>
      </c>
      <c r="H64" s="44" t="s">
        <v>8</v>
      </c>
      <c r="J64" s="45">
        <f t="shared" ref="J64:J72" si="8">IF(D64="",0,IF(E64="Annually",D64*B64,IF(E64="Monthly",D64*B64*12,D64*B64*52)))</f>
        <v>0</v>
      </c>
      <c r="K64" s="45">
        <f t="shared" ref="K64:K72" si="9">IF(G64="",0,IF(H64="Annually",G64*B64,IF(H64="Monthly",G64*B64*12,G64*B64*52)))</f>
        <v>0</v>
      </c>
      <c r="M64" s="489"/>
      <c r="N64" s="490"/>
    </row>
    <row r="65" spans="1:19">
      <c r="A65" s="92" t="s">
        <v>562</v>
      </c>
      <c r="B65" s="95">
        <v>0.5</v>
      </c>
      <c r="D65" s="10">
        <v>0</v>
      </c>
      <c r="E65" s="44" t="s">
        <v>8</v>
      </c>
      <c r="G65" s="10">
        <v>0</v>
      </c>
      <c r="H65" s="44" t="s">
        <v>8</v>
      </c>
      <c r="J65" s="45">
        <f t="shared" si="8"/>
        <v>0</v>
      </c>
      <c r="K65" s="45">
        <f t="shared" si="9"/>
        <v>0</v>
      </c>
      <c r="M65" s="489"/>
      <c r="N65" s="490"/>
    </row>
    <row r="66" spans="1:19">
      <c r="A66" s="92" t="s">
        <v>45</v>
      </c>
      <c r="B66" s="95">
        <v>1</v>
      </c>
      <c r="D66" s="10">
        <v>0</v>
      </c>
      <c r="E66" s="44" t="s">
        <v>8</v>
      </c>
      <c r="G66" s="10">
        <v>0</v>
      </c>
      <c r="H66" s="44" t="s">
        <v>8</v>
      </c>
      <c r="J66" s="45">
        <f t="shared" si="8"/>
        <v>0</v>
      </c>
      <c r="K66" s="45">
        <f t="shared" si="9"/>
        <v>0</v>
      </c>
      <c r="M66" s="489"/>
      <c r="N66" s="490"/>
      <c r="P66" s="144"/>
      <c r="Q66" s="145" t="s">
        <v>453</v>
      </c>
      <c r="R66" s="146"/>
      <c r="S66" s="147"/>
    </row>
    <row r="67" spans="1:19" ht="12.75" customHeight="1">
      <c r="A67" s="92" t="s">
        <v>558</v>
      </c>
      <c r="B67" s="95">
        <v>1</v>
      </c>
      <c r="D67" s="10">
        <v>0</v>
      </c>
      <c r="E67" s="44" t="s">
        <v>8</v>
      </c>
      <c r="G67" s="10">
        <v>0</v>
      </c>
      <c r="H67" s="44" t="s">
        <v>8</v>
      </c>
      <c r="J67" s="45">
        <f t="shared" si="8"/>
        <v>0</v>
      </c>
      <c r="K67" s="45">
        <f t="shared" si="9"/>
        <v>0</v>
      </c>
      <c r="M67" s="491"/>
      <c r="N67" s="492"/>
      <c r="P67" s="148"/>
      <c r="Q67" s="65"/>
      <c r="R67" s="65"/>
      <c r="S67" s="149"/>
    </row>
    <row r="68" spans="1:19">
      <c r="A68" s="92" t="s">
        <v>558</v>
      </c>
      <c r="B68" s="95">
        <v>0.5</v>
      </c>
      <c r="D68" s="10">
        <v>0</v>
      </c>
      <c r="E68" s="44" t="s">
        <v>8</v>
      </c>
      <c r="G68" s="10">
        <v>0</v>
      </c>
      <c r="H68" s="44" t="s">
        <v>8</v>
      </c>
      <c r="J68" s="45">
        <f t="shared" si="8"/>
        <v>0</v>
      </c>
      <c r="K68" s="45">
        <f t="shared" si="9"/>
        <v>0</v>
      </c>
      <c r="P68" s="150"/>
      <c r="Q68" s="151" t="s">
        <v>446</v>
      </c>
      <c r="R68" s="65"/>
      <c r="S68" s="152" t="s">
        <v>447</v>
      </c>
    </row>
    <row r="69" spans="1:19">
      <c r="A69" s="92" t="s">
        <v>559</v>
      </c>
      <c r="B69" s="95">
        <v>1</v>
      </c>
      <c r="D69" s="10">
        <v>0</v>
      </c>
      <c r="E69" s="44" t="s">
        <v>8</v>
      </c>
      <c r="G69" s="10">
        <v>0</v>
      </c>
      <c r="H69" s="44" t="s">
        <v>8</v>
      </c>
      <c r="J69" s="45">
        <f t="shared" si="8"/>
        <v>0</v>
      </c>
      <c r="K69" s="45">
        <f t="shared" si="9"/>
        <v>0</v>
      </c>
      <c r="M69" s="496" t="s">
        <v>328</v>
      </c>
      <c r="N69" s="496"/>
      <c r="P69" s="148" t="s">
        <v>445</v>
      </c>
      <c r="Q69" s="105">
        <f>O23</f>
        <v>0</v>
      </c>
      <c r="R69" s="65"/>
      <c r="S69" s="153">
        <f>Q23</f>
        <v>0</v>
      </c>
    </row>
    <row r="70" spans="1:19">
      <c r="A70" s="92" t="s">
        <v>560</v>
      </c>
      <c r="B70" s="95">
        <v>0.5</v>
      </c>
      <c r="D70" s="10">
        <v>0</v>
      </c>
      <c r="E70" s="44" t="s">
        <v>8</v>
      </c>
      <c r="G70" s="10">
        <v>0</v>
      </c>
      <c r="H70" s="44" t="s">
        <v>8</v>
      </c>
      <c r="J70" s="45">
        <f t="shared" si="8"/>
        <v>0</v>
      </c>
      <c r="K70" s="45">
        <f t="shared" si="9"/>
        <v>0</v>
      </c>
      <c r="M70" s="496"/>
      <c r="N70" s="496"/>
      <c r="P70" s="148" t="s">
        <v>452</v>
      </c>
      <c r="Q70" s="105">
        <f>SUM(O45:O46)</f>
        <v>0</v>
      </c>
      <c r="R70" s="65"/>
      <c r="S70" s="153">
        <f>SUM(Q45:Q46)</f>
        <v>0</v>
      </c>
    </row>
    <row r="71" spans="1:19">
      <c r="A71" s="92"/>
      <c r="B71" s="95"/>
      <c r="J71" s="45">
        <f t="shared" si="8"/>
        <v>0</v>
      </c>
      <c r="K71" s="45">
        <f t="shared" si="9"/>
        <v>0</v>
      </c>
      <c r="M71" s="496"/>
      <c r="N71" s="496"/>
      <c r="P71" s="148" t="s">
        <v>449</v>
      </c>
      <c r="Q71" s="154">
        <f>SUM(Q69-Q70)</f>
        <v>0</v>
      </c>
      <c r="R71" s="65"/>
      <c r="S71" s="155">
        <f>SUM(S69-S70)</f>
        <v>0</v>
      </c>
    </row>
    <row r="72" spans="1:19">
      <c r="A72" s="92"/>
      <c r="B72" s="95"/>
      <c r="J72" s="45">
        <f t="shared" si="8"/>
        <v>0</v>
      </c>
      <c r="K72" s="45">
        <f t="shared" si="9"/>
        <v>0</v>
      </c>
      <c r="M72" s="496"/>
      <c r="N72" s="496"/>
      <c r="P72" s="148"/>
      <c r="Q72" s="105"/>
      <c r="R72" s="65"/>
      <c r="S72" s="149"/>
    </row>
    <row r="73" spans="1:19">
      <c r="A73" s="24" t="s">
        <v>217</v>
      </c>
      <c r="D73" s="140">
        <f>SUMPRODUCT(B64:B72,D64:D72)</f>
        <v>0</v>
      </c>
      <c r="E73" s="44" t="s">
        <v>8</v>
      </c>
      <c r="F73" s="160"/>
      <c r="G73" s="140">
        <f>SUMPRODUCT(B64:B72,G64:G72)</f>
        <v>0</v>
      </c>
      <c r="H73" s="44" t="s">
        <v>8</v>
      </c>
      <c r="M73" s="496"/>
      <c r="N73" s="496"/>
      <c r="P73" s="156" t="s">
        <v>443</v>
      </c>
      <c r="Q73" s="157">
        <f>O25</f>
        <v>0</v>
      </c>
      <c r="R73" s="158"/>
      <c r="S73" s="159">
        <f>Q25</f>
        <v>0</v>
      </c>
    </row>
    <row r="74" spans="1:19">
      <c r="M74" s="496"/>
      <c r="N74" s="496"/>
      <c r="P74" s="148" t="s">
        <v>448</v>
      </c>
      <c r="Q74" s="105">
        <f>O47</f>
        <v>0</v>
      </c>
      <c r="R74" s="65"/>
      <c r="S74" s="153">
        <f>Q47</f>
        <v>0</v>
      </c>
    </row>
    <row r="75" spans="1:19">
      <c r="A75" s="44" t="s">
        <v>218</v>
      </c>
      <c r="D75" s="137"/>
      <c r="G75" s="137"/>
      <c r="M75" s="496"/>
      <c r="N75" s="496"/>
      <c r="P75" s="148" t="s">
        <v>451</v>
      </c>
      <c r="Q75" s="161">
        <f>SUM(Q73-Q74)</f>
        <v>0</v>
      </c>
      <c r="R75" s="65"/>
      <c r="S75" s="162">
        <f>SUM(S73-S74)</f>
        <v>0</v>
      </c>
    </row>
    <row r="76" spans="1:19">
      <c r="M76" s="496"/>
      <c r="N76" s="496"/>
      <c r="P76" s="148"/>
      <c r="Q76" s="105"/>
      <c r="R76" s="65"/>
      <c r="S76" s="149"/>
    </row>
    <row r="77" spans="1:19">
      <c r="A77" s="464" t="s">
        <v>564</v>
      </c>
      <c r="B77" s="465" t="s">
        <v>565</v>
      </c>
      <c r="C77" s="466"/>
      <c r="D77" s="467" t="s">
        <v>564</v>
      </c>
      <c r="E77" s="466"/>
      <c r="F77" s="466"/>
      <c r="G77" s="468" t="s">
        <v>565</v>
      </c>
      <c r="P77" s="163" t="s">
        <v>450</v>
      </c>
      <c r="Q77" s="164">
        <f>SUM(Q71+Q75)</f>
        <v>0</v>
      </c>
      <c r="R77" s="165"/>
      <c r="S77" s="166">
        <f>SUM(S71+S75)</f>
        <v>0</v>
      </c>
    </row>
    <row r="78" spans="1:19">
      <c r="A78" s="469" t="s">
        <v>566</v>
      </c>
      <c r="B78" s="470">
        <v>1</v>
      </c>
      <c r="C78" s="471"/>
      <c r="D78" s="471" t="s">
        <v>567</v>
      </c>
      <c r="E78" s="471"/>
      <c r="F78" s="471"/>
      <c r="G78" s="472">
        <v>1</v>
      </c>
    </row>
    <row r="79" spans="1:19">
      <c r="A79" s="469" t="s">
        <v>559</v>
      </c>
      <c r="B79" s="470">
        <v>1</v>
      </c>
      <c r="C79" s="471"/>
      <c r="D79" s="471" t="s">
        <v>568</v>
      </c>
      <c r="E79" s="471"/>
      <c r="F79" s="471"/>
      <c r="G79" s="472">
        <v>1</v>
      </c>
      <c r="N79" s="167" t="s">
        <v>425</v>
      </c>
      <c r="O79" s="168">
        <f>IF(D8=O8,3,0)</f>
        <v>0</v>
      </c>
    </row>
    <row r="80" spans="1:19">
      <c r="A80" s="469" t="s">
        <v>560</v>
      </c>
      <c r="B80" s="470">
        <v>0.5</v>
      </c>
      <c r="C80" s="471"/>
      <c r="D80" s="471" t="s">
        <v>569</v>
      </c>
      <c r="E80" s="471"/>
      <c r="F80" s="471"/>
      <c r="G80" s="472">
        <v>0.5</v>
      </c>
      <c r="N80" s="167" t="s">
        <v>400</v>
      </c>
      <c r="O80" s="168">
        <f>Affordability!Q25</f>
        <v>0</v>
      </c>
      <c r="P80" s="169" t="s">
        <v>3</v>
      </c>
    </row>
    <row r="81" spans="1:19">
      <c r="A81" s="469" t="s">
        <v>570</v>
      </c>
      <c r="B81" s="470">
        <v>0.5</v>
      </c>
      <c r="C81" s="471"/>
      <c r="D81" s="471" t="s">
        <v>571</v>
      </c>
      <c r="E81" s="471"/>
      <c r="F81" s="471"/>
      <c r="G81" s="472">
        <v>1</v>
      </c>
      <c r="N81" s="167" t="s">
        <v>402</v>
      </c>
      <c r="O81" s="170">
        <f>IF(J20+K20+J21+K21+J22+K22&gt;0,1,2)</f>
        <v>2</v>
      </c>
      <c r="P81" s="170">
        <f>SUM(O79:O81)</f>
        <v>2</v>
      </c>
    </row>
    <row r="82" spans="1:19">
      <c r="A82" s="469" t="s">
        <v>572</v>
      </c>
      <c r="B82" s="470">
        <v>0.5</v>
      </c>
      <c r="C82" s="471"/>
      <c r="D82" s="471" t="s">
        <v>573</v>
      </c>
      <c r="E82" s="473"/>
      <c r="F82" s="473"/>
      <c r="G82" s="472">
        <v>0.5</v>
      </c>
      <c r="N82" s="167" t="s">
        <v>401</v>
      </c>
      <c r="O82" s="171">
        <f>IF(O79&gt;O80,20%,IF(O80=O81,20%,10%))</f>
        <v>0.1</v>
      </c>
    </row>
    <row r="83" spans="1:19">
      <c r="A83" s="469" t="s">
        <v>574</v>
      </c>
      <c r="B83" s="470">
        <v>0.5</v>
      </c>
      <c r="C83" s="471"/>
      <c r="D83" s="471" t="s">
        <v>575</v>
      </c>
      <c r="E83" s="471"/>
      <c r="F83" s="471"/>
      <c r="G83" s="472">
        <v>1</v>
      </c>
    </row>
    <row r="84" spans="1:19">
      <c r="A84" s="474" t="s">
        <v>576</v>
      </c>
      <c r="B84" s="475">
        <v>1</v>
      </c>
      <c r="C84" s="476"/>
      <c r="D84" s="476" t="s">
        <v>577</v>
      </c>
      <c r="E84" s="476"/>
      <c r="F84" s="476"/>
      <c r="G84" s="477">
        <v>0</v>
      </c>
    </row>
    <row r="92" spans="1:19">
      <c r="O92" s="93"/>
    </row>
    <row r="94" spans="1:19">
      <c r="P94" s="172"/>
      <c r="Q94" s="45"/>
      <c r="R94" s="172"/>
    </row>
    <row r="95" spans="1:19">
      <c r="Q95" s="45"/>
      <c r="S95" s="45"/>
    </row>
    <row r="96" spans="1:19">
      <c r="O96" s="173"/>
      <c r="P96" s="97"/>
      <c r="Q96" s="174"/>
      <c r="R96" s="97"/>
      <c r="S96" s="174"/>
    </row>
    <row r="98" spans="16:17">
      <c r="P98" s="97"/>
      <c r="Q98" s="174"/>
    </row>
    <row r="99" spans="16:17">
      <c r="P99" s="97"/>
      <c r="Q99" s="174"/>
    </row>
    <row r="100" spans="16:17">
      <c r="P100" s="97"/>
      <c r="Q100" s="174"/>
    </row>
    <row r="101" spans="16:17">
      <c r="P101" s="97"/>
      <c r="Q101" s="174"/>
    </row>
    <row r="102" spans="16:17">
      <c r="P102" s="97"/>
      <c r="Q102" s="174"/>
    </row>
    <row r="103" spans="16:17">
      <c r="P103" s="175"/>
      <c r="Q103" s="174"/>
    </row>
    <row r="104" spans="16:17">
      <c r="P104" s="175"/>
      <c r="Q104" s="174"/>
    </row>
    <row r="120" spans="15:16">
      <c r="P120" s="112"/>
    </row>
    <row r="121" spans="15:16">
      <c r="P121" s="112"/>
    </row>
    <row r="122" spans="15:16">
      <c r="P122" s="112"/>
    </row>
    <row r="123" spans="15:16">
      <c r="P123" s="112"/>
    </row>
    <row r="124" spans="15:16">
      <c r="P124" s="112"/>
    </row>
    <row r="125" spans="15:16">
      <c r="P125" s="112"/>
    </row>
    <row r="126" spans="15:16">
      <c r="O126" s="79"/>
      <c r="P126" s="112"/>
    </row>
    <row r="127" spans="15:16">
      <c r="O127" s="79"/>
      <c r="P127" s="112"/>
    </row>
    <row r="128" spans="15:16">
      <c r="O128" s="79"/>
      <c r="P128" s="112"/>
    </row>
    <row r="129" spans="15:16">
      <c r="O129" s="79"/>
      <c r="P129" s="112"/>
    </row>
    <row r="130" spans="15:16">
      <c r="O130" s="112"/>
      <c r="P130" s="112"/>
    </row>
    <row r="131" spans="15:16">
      <c r="O131" s="79"/>
      <c r="P131" s="112"/>
    </row>
    <row r="132" spans="15:16">
      <c r="O132" s="79"/>
      <c r="P132" s="112"/>
    </row>
    <row r="134" spans="15:16">
      <c r="O134" s="79"/>
    </row>
    <row r="135" spans="15:16">
      <c r="O135" s="112"/>
    </row>
  </sheetData>
  <sheetProtection algorithmName="SHA-512" hashValue="LdXXrPuZeJTZ+Aenp4p3ne4JUrWW88HR7bZDhWL9T9TJcaOtuh2l8yYFW9IQtVFITPcliFa+wv1h+B5N/lmRRQ==" saltValue="LgJYwIaqa+tU3k49JraaRg==" spinCount="100000" sheet="1" objects="1" scenarios="1"/>
  <mergeCells count="14">
    <mergeCell ref="M63:N67"/>
    <mergeCell ref="D8:H8"/>
    <mergeCell ref="M69:N76"/>
    <mergeCell ref="A61:H61"/>
    <mergeCell ref="D10:E10"/>
    <mergeCell ref="G10:H10"/>
    <mergeCell ref="A14:A15"/>
    <mergeCell ref="A2:C2"/>
    <mergeCell ref="A3:C3"/>
    <mergeCell ref="A5:C5"/>
    <mergeCell ref="A6:C6"/>
    <mergeCell ref="D14:H14"/>
    <mergeCell ref="D12:E12"/>
    <mergeCell ref="G12:H12"/>
  </mergeCells>
  <phoneticPr fontId="35" type="noConversion"/>
  <dataValidations count="5">
    <dataValidation type="whole" allowBlank="1" showInputMessage="1" showErrorMessage="1" sqref="D17 G17" xr:uid="{00000000-0002-0000-0000-000000000000}">
      <formula1>0</formula1>
      <formula2>999999</formula2>
    </dataValidation>
    <dataValidation allowBlank="1" showInputMessage="1" showErrorMessage="1" error="Please enter only the numbers from the tax code" sqref="E17 H17" xr:uid="{00000000-0002-0000-0000-000001000000}"/>
    <dataValidation type="list" allowBlank="1" showInputMessage="1" showErrorMessage="1" sqref="D12:E12 G12:H12" xr:uid="{00000000-0002-0000-0000-000002000000}">
      <formula1>$N$6:$N$8</formula1>
    </dataValidation>
    <dataValidation type="list" allowBlank="1" showInputMessage="1" showErrorMessage="1" sqref="D8:H8" xr:uid="{00000000-0002-0000-0000-000003000000}">
      <formula1>$O$6:$O$10</formula1>
    </dataValidation>
    <dataValidation type="list" allowBlank="1" showInputMessage="1" showErrorMessage="1" sqref="H48:H50 E42:E44 E48:E50 E25:E29 H33:H37 E54:E55 H54:H55 H25:H29 E33:E37 H20:H22 E20:E22 H42:H44" xr:uid="{00000000-0002-0000-0000-000004000000}">
      <formula1>$S$14:$S$16</formula1>
    </dataValidation>
  </dataValidations>
  <pageMargins left="0.7" right="0.7" top="0.75" bottom="0.75" header="0.3" footer="0.3"/>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352"/>
  <sheetViews>
    <sheetView showGridLines="0" zoomScale="85" zoomScaleNormal="85" workbookViewId="0">
      <selection activeCell="A2" sqref="A2:C2"/>
    </sheetView>
  </sheetViews>
  <sheetFormatPr defaultColWidth="9.109375" defaultRowHeight="13.2"/>
  <cols>
    <col min="1" max="1" width="13.6640625" style="82" customWidth="1"/>
    <col min="2" max="2" width="12.88671875" style="82" customWidth="1"/>
    <col min="3" max="3" width="18.88671875" style="82" customWidth="1"/>
    <col min="4" max="4" width="12.88671875" style="181" customWidth="1"/>
    <col min="5" max="5" width="12.88671875" style="82" customWidth="1"/>
    <col min="6" max="6" width="16.88671875" style="176" customWidth="1"/>
    <col min="7" max="7" width="12.88671875" style="176" customWidth="1"/>
    <col min="8" max="8" width="20" style="176" customWidth="1"/>
    <col min="9" max="9" width="15.6640625" style="82" customWidth="1"/>
    <col min="10" max="10" width="16.33203125" style="82" customWidth="1"/>
    <col min="11" max="11" width="13" style="180" hidden="1" customWidth="1"/>
    <col min="12" max="12" width="13.88671875" style="28" hidden="1" customWidth="1"/>
    <col min="13" max="13" width="9.6640625" style="28" hidden="1" customWidth="1"/>
    <col min="14" max="14" width="9.109375" style="28" hidden="1" customWidth="1"/>
    <col min="15" max="15" width="16.77734375" style="28" hidden="1" customWidth="1"/>
    <col min="16" max="16" width="14.109375" style="28" hidden="1" customWidth="1"/>
    <col min="17" max="17" width="13.6640625" style="28" hidden="1" customWidth="1"/>
    <col min="18" max="18" width="15" style="28" hidden="1" customWidth="1"/>
    <col min="19" max="19" width="22.21875" style="28" hidden="1" customWidth="1"/>
    <col min="20" max="20" width="14.109375" style="28" hidden="1" customWidth="1"/>
    <col min="21" max="21" width="9" style="28" hidden="1" customWidth="1"/>
    <col min="22" max="22" width="14.21875" style="82" customWidth="1"/>
    <col min="23" max="23" width="13.109375" style="82" customWidth="1"/>
    <col min="24" max="24" width="14.77734375" style="82" customWidth="1"/>
    <col min="25" max="25" width="16.33203125" style="82" customWidth="1"/>
    <col min="26" max="26" width="11.77734375" style="82" customWidth="1"/>
    <col min="27" max="28" width="16.21875" style="28" hidden="1" customWidth="1"/>
    <col min="29" max="29" width="12.44140625" style="28" hidden="1" customWidth="1"/>
    <col min="30" max="30" width="13.21875" style="28" hidden="1" customWidth="1"/>
    <col min="31" max="31" width="11.77734375" style="28" hidden="1" customWidth="1"/>
    <col min="32" max="32" width="12.77734375" style="28" hidden="1" customWidth="1"/>
    <col min="33" max="33" width="14.21875" style="28" hidden="1" customWidth="1"/>
    <col min="34" max="34" width="12.6640625" style="28" hidden="1" customWidth="1"/>
    <col min="35" max="35" width="15.44140625" style="28" hidden="1" customWidth="1"/>
    <col min="36" max="36" width="14.6640625" style="28" hidden="1" customWidth="1"/>
    <col min="37" max="43" width="11.77734375" style="28" hidden="1" customWidth="1"/>
    <col min="44" max="44" width="11.77734375" style="82" customWidth="1"/>
    <col min="45" max="45" width="9.109375" style="82" customWidth="1"/>
    <col min="46" max="46" width="15.109375" style="82" customWidth="1"/>
    <col min="47" max="16384" width="9.109375" style="82"/>
  </cols>
  <sheetData>
    <row r="1" spans="1:42">
      <c r="A1" s="479" t="s">
        <v>518</v>
      </c>
      <c r="B1" s="480"/>
      <c r="C1" s="481"/>
      <c r="D1" s="38"/>
      <c r="E1" s="38"/>
      <c r="F1" s="38"/>
      <c r="K1" s="177" t="s">
        <v>6</v>
      </c>
    </row>
    <row r="2" spans="1:42" ht="12.75" customHeight="1">
      <c r="A2" s="565"/>
      <c r="B2" s="566"/>
      <c r="C2" s="566"/>
      <c r="D2" s="178"/>
      <c r="E2" s="36" t="s">
        <v>28</v>
      </c>
      <c r="F2" s="37"/>
      <c r="K2" s="179" t="s">
        <v>8</v>
      </c>
      <c r="L2" s="180"/>
      <c r="M2" s="180"/>
      <c r="N2" s="180"/>
      <c r="P2" s="180"/>
      <c r="Q2" s="180"/>
      <c r="R2" s="180"/>
      <c r="S2" s="180"/>
      <c r="U2" s="180"/>
      <c r="V2" s="34"/>
    </row>
    <row r="3" spans="1:42">
      <c r="K3" s="177" t="s">
        <v>14</v>
      </c>
      <c r="R3" s="180"/>
      <c r="S3" s="180"/>
      <c r="U3" s="180"/>
    </row>
    <row r="4" spans="1:42">
      <c r="A4" s="479" t="s">
        <v>17</v>
      </c>
      <c r="B4" s="480"/>
      <c r="C4" s="481"/>
      <c r="E4" s="479" t="s">
        <v>18</v>
      </c>
      <c r="F4" s="481"/>
      <c r="K4" s="182"/>
      <c r="M4" s="28" t="s">
        <v>104</v>
      </c>
      <c r="R4" s="180"/>
      <c r="S4" s="180"/>
      <c r="U4" s="180"/>
    </row>
    <row r="5" spans="1:42">
      <c r="A5" s="570"/>
      <c r="B5" s="566"/>
      <c r="C5" s="566"/>
      <c r="E5" s="485"/>
      <c r="F5" s="486"/>
      <c r="I5" s="183"/>
      <c r="K5" s="184">
        <v>9.9999999999999995E-7</v>
      </c>
      <c r="Q5" s="180"/>
      <c r="R5" s="180"/>
      <c r="S5" s="180"/>
      <c r="U5" s="180"/>
    </row>
    <row r="6" spans="1:42" ht="12.75" customHeight="1">
      <c r="K6" s="185">
        <v>0.1</v>
      </c>
      <c r="O6" s="580" t="s">
        <v>369</v>
      </c>
      <c r="P6" s="580"/>
      <c r="Q6" s="580"/>
      <c r="R6" s="580"/>
      <c r="S6" s="180"/>
      <c r="U6" s="180"/>
    </row>
    <row r="7" spans="1:42" ht="12.75" customHeight="1">
      <c r="A7" s="24" t="s">
        <v>19</v>
      </c>
      <c r="C7" s="567" t="s">
        <v>586</v>
      </c>
      <c r="D7" s="567"/>
      <c r="E7" s="567"/>
      <c r="F7" s="567"/>
      <c r="I7" s="40" t="s">
        <v>557</v>
      </c>
      <c r="J7" s="41">
        <f>AJ70</f>
        <v>7.9399999999999998E-2</v>
      </c>
      <c r="K7" s="182"/>
      <c r="O7" s="581" t="s">
        <v>403</v>
      </c>
      <c r="P7" s="584"/>
      <c r="Q7" s="585"/>
      <c r="R7" s="186" t="str">
        <f>IF($H$11=O7,"Yes","No")</f>
        <v>Yes</v>
      </c>
      <c r="AA7" s="133"/>
      <c r="AG7" s="187"/>
      <c r="AH7" s="187"/>
      <c r="AI7" s="187"/>
      <c r="AJ7" s="187"/>
      <c r="AK7" s="187"/>
      <c r="AL7" s="187"/>
      <c r="AM7" s="187"/>
      <c r="AN7" s="187"/>
      <c r="AO7" s="187"/>
    </row>
    <row r="8" spans="1:42">
      <c r="K8" s="182"/>
      <c r="O8" s="581" t="s">
        <v>395</v>
      </c>
      <c r="P8" s="584"/>
      <c r="Q8" s="585"/>
      <c r="R8" s="186" t="str">
        <f>IF($H$11=O8,"Yes","No")</f>
        <v>No</v>
      </c>
      <c r="S8" s="188"/>
      <c r="AA8" s="189"/>
    </row>
    <row r="9" spans="1:42" ht="12.75" customHeight="1">
      <c r="A9" s="24" t="s">
        <v>20</v>
      </c>
      <c r="C9" s="190" t="s">
        <v>585</v>
      </c>
      <c r="F9" s="176" t="s">
        <v>5</v>
      </c>
      <c r="H9" s="142"/>
      <c r="I9" s="142"/>
      <c r="J9" s="142"/>
      <c r="K9" s="177" t="s">
        <v>6</v>
      </c>
      <c r="O9" s="581" t="s">
        <v>394</v>
      </c>
      <c r="P9" s="584"/>
      <c r="Q9" s="585"/>
      <c r="R9" s="186" t="str">
        <f>IF($H$11=O9,"Yes","No")</f>
        <v>No</v>
      </c>
      <c r="AA9" s="191"/>
    </row>
    <row r="10" spans="1:42" ht="12.75" customHeight="1">
      <c r="K10" s="177" t="s">
        <v>7</v>
      </c>
      <c r="O10" s="581" t="s">
        <v>370</v>
      </c>
      <c r="P10" s="584"/>
      <c r="Q10" s="585"/>
      <c r="R10" s="186" t="str">
        <f>IF($H$11=O10,"Yes","No")</f>
        <v>No</v>
      </c>
      <c r="AA10" s="191"/>
    </row>
    <row r="11" spans="1:42">
      <c r="A11" s="82" t="s">
        <v>15</v>
      </c>
      <c r="B11" s="82" t="s">
        <v>0</v>
      </c>
      <c r="C11" s="192">
        <f>Income!D59</f>
        <v>0</v>
      </c>
      <c r="F11" s="193" t="str">
        <f>Income!E59</f>
        <v>Monthly</v>
      </c>
      <c r="H11" s="577" t="str">
        <f>Income!D8</f>
        <v>Standard Residential incl. Second Homes</v>
      </c>
      <c r="I11" s="577"/>
      <c r="J11" s="577"/>
      <c r="K11" s="194">
        <f>IF(F11=$K$2,C11*12,IF(F11=$K$3,C11*52,C11))</f>
        <v>0</v>
      </c>
      <c r="M11" s="28" t="s">
        <v>102</v>
      </c>
      <c r="O11" s="581" t="s">
        <v>396</v>
      </c>
      <c r="P11" s="584"/>
      <c r="Q11" s="585"/>
      <c r="R11" s="186" t="str">
        <f>IF($H$11=O11,"Yes","No")</f>
        <v>No</v>
      </c>
      <c r="AA11" s="191"/>
      <c r="AE11" s="195" t="s">
        <v>330</v>
      </c>
      <c r="AF11" s="196"/>
      <c r="AG11" s="196"/>
      <c r="AH11" s="196"/>
      <c r="AI11" s="197" t="s">
        <v>459</v>
      </c>
      <c r="AJ11" s="198"/>
      <c r="AK11" s="198"/>
    </row>
    <row r="12" spans="1:42">
      <c r="B12" s="82" t="s">
        <v>1</v>
      </c>
      <c r="C12" s="192">
        <f>Income!G59</f>
        <v>0</v>
      </c>
      <c r="F12" s="193" t="str">
        <f>Income!H59</f>
        <v>Monthly</v>
      </c>
      <c r="K12" s="194">
        <f>IF(F12=$K$2,C12*12,IF(F12=$K$3,C12*52,C12))</f>
        <v>0</v>
      </c>
      <c r="M12" s="28" t="s">
        <v>103</v>
      </c>
      <c r="AA12" s="189"/>
      <c r="AB12" s="28" t="s">
        <v>141</v>
      </c>
      <c r="AC12" s="199">
        <f>IF(D23&gt;0,0,COUNTIF(P23:P24,"Yes"))</f>
        <v>0</v>
      </c>
    </row>
    <row r="13" spans="1:42" ht="14.4">
      <c r="B13" s="82" t="s">
        <v>3</v>
      </c>
      <c r="D13" s="200">
        <f>C11+C12</f>
        <v>0</v>
      </c>
      <c r="F13" s="82"/>
      <c r="H13" s="586" t="s">
        <v>367</v>
      </c>
      <c r="I13" s="587"/>
      <c r="J13" s="80">
        <f>$I$111</f>
        <v>4.5</v>
      </c>
      <c r="K13" s="194"/>
      <c r="P13" s="199" t="s">
        <v>138</v>
      </c>
      <c r="Z13" s="82" t="s">
        <v>35</v>
      </c>
      <c r="AA13" s="133"/>
      <c r="AB13" s="201" t="s">
        <v>142</v>
      </c>
      <c r="AC13" s="199">
        <f>D22-AC12</f>
        <v>2</v>
      </c>
      <c r="AD13" s="199"/>
      <c r="AE13" s="202" t="s">
        <v>61</v>
      </c>
      <c r="AF13" s="203"/>
      <c r="AG13" s="204" t="s">
        <v>62</v>
      </c>
      <c r="AH13" s="205" t="s">
        <v>63</v>
      </c>
      <c r="AI13" s="205" t="s">
        <v>64</v>
      </c>
      <c r="AJ13" s="205" t="s">
        <v>65</v>
      </c>
      <c r="AK13" s="205" t="s">
        <v>66</v>
      </c>
      <c r="AL13" s="205" t="s">
        <v>36</v>
      </c>
      <c r="AM13" s="205" t="s">
        <v>67</v>
      </c>
      <c r="AN13" s="204" t="s">
        <v>68</v>
      </c>
      <c r="AO13" s="205" t="s">
        <v>117</v>
      </c>
      <c r="AP13" s="206" t="s">
        <v>3</v>
      </c>
    </row>
    <row r="14" spans="1:42" ht="12.75" customHeight="1">
      <c r="A14" s="478" t="s">
        <v>560</v>
      </c>
      <c r="D14" s="280">
        <f>(Income!D70+Income!G70)*Income!B70</f>
        <v>0</v>
      </c>
      <c r="F14" s="193" t="s">
        <v>8</v>
      </c>
      <c r="K14" s="194">
        <f>IF(F14=$K$2,D14*12,IF(F14=$K$3,D14*52,D14))</f>
        <v>0</v>
      </c>
      <c r="L14" s="46" t="s">
        <v>227</v>
      </c>
      <c r="P14" s="199" t="s">
        <v>139</v>
      </c>
      <c r="AB14" s="201"/>
      <c r="AC14" s="199"/>
      <c r="AD14" s="199"/>
      <c r="AE14" s="205"/>
      <c r="AF14" s="203"/>
      <c r="AG14" s="204" t="s">
        <v>69</v>
      </c>
      <c r="AH14" s="203"/>
      <c r="AI14" s="203"/>
      <c r="AJ14" s="203"/>
      <c r="AK14" s="203"/>
      <c r="AL14" s="203"/>
      <c r="AM14" s="203"/>
      <c r="AN14" s="207"/>
      <c r="AO14" s="203" t="s">
        <v>118</v>
      </c>
    </row>
    <row r="15" spans="1:42" ht="12.75" customHeight="1">
      <c r="A15" t="s">
        <v>559</v>
      </c>
      <c r="D15" s="280">
        <f>(Income!D69+Income!G69)*Income!B69</f>
        <v>0</v>
      </c>
      <c r="F15" s="193" t="s">
        <v>8</v>
      </c>
      <c r="H15" s="208"/>
      <c r="K15" s="194">
        <f t="shared" ref="K15:K19" si="0">IF(F15=$K$2,D15*12,IF(F15=$K$3,D15*52,D15))</f>
        <v>0</v>
      </c>
      <c r="L15" s="46" t="s">
        <v>226</v>
      </c>
      <c r="V15" s="82" t="s">
        <v>35</v>
      </c>
      <c r="AB15" s="201" t="str">
        <f>IF(AC13=0,AC12&amp;" retired adult, no children",IF(D22=1,"1 adult, ","2 adults, ")&amp;IF(D23=1,"1 child",D23&amp;" children"))</f>
        <v>2 adults, 0 children</v>
      </c>
      <c r="AC15" s="199" t="str">
        <f>VLOOKUP(AB15,$AB$17:$AC$26,2)</f>
        <v>B</v>
      </c>
      <c r="AD15" s="199"/>
      <c r="AE15" s="209" t="s">
        <v>14</v>
      </c>
      <c r="AF15" s="203"/>
      <c r="AG15" s="210" t="s">
        <v>460</v>
      </c>
      <c r="AH15" s="211"/>
      <c r="AI15" s="211"/>
      <c r="AJ15" s="211"/>
      <c r="AK15" s="211"/>
      <c r="AL15" s="211"/>
      <c r="AM15" s="203"/>
      <c r="AN15" s="207" t="s">
        <v>460</v>
      </c>
      <c r="AO15" s="203"/>
    </row>
    <row r="16" spans="1:42" ht="12.75" customHeight="1">
      <c r="A16" t="s">
        <v>563</v>
      </c>
      <c r="D16" s="280">
        <f>(Income!D67+Income!G67)*Income!B67+(Income!D68+Income!G68)*Income!B68</f>
        <v>0</v>
      </c>
      <c r="F16" s="193" t="s">
        <v>8</v>
      </c>
      <c r="K16" s="194">
        <f t="shared" si="0"/>
        <v>0</v>
      </c>
      <c r="L16" s="46" t="s">
        <v>225</v>
      </c>
      <c r="W16" s="24"/>
      <c r="X16" s="24"/>
      <c r="Y16" s="24"/>
      <c r="Z16" s="24"/>
      <c r="AB16" s="199"/>
      <c r="AC16" s="199"/>
      <c r="AD16" s="199"/>
      <c r="AF16" s="203"/>
      <c r="AG16" s="212"/>
      <c r="AH16" s="213"/>
      <c r="AI16" s="214"/>
      <c r="AJ16" s="214"/>
      <c r="AK16" s="214"/>
      <c r="AL16" s="214"/>
      <c r="AM16" s="214"/>
      <c r="AN16" s="215"/>
      <c r="AO16" s="216"/>
    </row>
    <row r="17" spans="1:42" ht="12.75" customHeight="1">
      <c r="A17" t="s">
        <v>2</v>
      </c>
      <c r="D17" s="280">
        <f>(Income!D64+Income!G64)*Income!B64+(Income!D65+Income!G65)*Income!B65</f>
        <v>0</v>
      </c>
      <c r="F17" s="193" t="s">
        <v>8</v>
      </c>
      <c r="H17" s="217"/>
      <c r="K17" s="194">
        <f t="shared" si="0"/>
        <v>0</v>
      </c>
      <c r="L17" s="46" t="s">
        <v>223</v>
      </c>
      <c r="P17" s="28" t="s">
        <v>138</v>
      </c>
      <c r="W17" s="34"/>
      <c r="X17" s="34"/>
      <c r="Y17" s="34"/>
      <c r="Z17" s="34"/>
      <c r="AB17" s="201" t="s">
        <v>76</v>
      </c>
      <c r="AC17" s="199" t="s">
        <v>75</v>
      </c>
      <c r="AD17" s="199"/>
      <c r="AE17" s="218" t="s">
        <v>74</v>
      </c>
      <c r="AF17" s="205" t="s">
        <v>75</v>
      </c>
      <c r="AG17" s="219">
        <v>70.3</v>
      </c>
      <c r="AH17" s="220">
        <v>11.6</v>
      </c>
      <c r="AI17" s="220">
        <v>5.5</v>
      </c>
      <c r="AJ17" s="220">
        <v>31.4</v>
      </c>
      <c r="AK17" s="220">
        <v>9.3000000000000007</v>
      </c>
      <c r="AL17" s="220">
        <v>9.8000000000000007</v>
      </c>
      <c r="AM17" s="220">
        <v>41.5</v>
      </c>
      <c r="AN17" s="221">
        <v>45.3</v>
      </c>
      <c r="AO17" s="222">
        <v>26.9</v>
      </c>
      <c r="AP17" s="223">
        <f>SUM(AG17:AO17)</f>
        <v>251.6</v>
      </c>
    </row>
    <row r="18" spans="1:42" ht="12.75" customHeight="1">
      <c r="A18" s="82" t="s">
        <v>153</v>
      </c>
      <c r="D18" s="192">
        <f>Income!D66+Income!G66</f>
        <v>0</v>
      </c>
      <c r="F18" s="193" t="s">
        <v>8</v>
      </c>
      <c r="H18" s="110"/>
      <c r="K18" s="194">
        <f t="shared" si="0"/>
        <v>0</v>
      </c>
      <c r="L18" s="46" t="s">
        <v>224</v>
      </c>
      <c r="P18" s="28" t="s">
        <v>139</v>
      </c>
      <c r="W18" s="34" t="s">
        <v>35</v>
      </c>
      <c r="X18" s="34"/>
      <c r="Y18" s="34"/>
      <c r="Z18" s="34"/>
      <c r="AA18" s="133"/>
      <c r="AB18" s="201" t="s">
        <v>71</v>
      </c>
      <c r="AC18" s="199" t="s">
        <v>72</v>
      </c>
      <c r="AD18" s="199"/>
      <c r="AE18" s="218" t="s">
        <v>77</v>
      </c>
      <c r="AF18" s="205" t="s">
        <v>13</v>
      </c>
      <c r="AG18" s="219">
        <v>84.1</v>
      </c>
      <c r="AH18" s="220">
        <v>19.600000000000001</v>
      </c>
      <c r="AI18" s="220">
        <v>7.2</v>
      </c>
      <c r="AJ18" s="220">
        <v>61</v>
      </c>
      <c r="AK18" s="220">
        <v>15.2</v>
      </c>
      <c r="AL18" s="220">
        <v>25.1</v>
      </c>
      <c r="AM18" s="220">
        <v>87</v>
      </c>
      <c r="AN18" s="221">
        <v>97.4</v>
      </c>
      <c r="AO18" s="222">
        <v>49.7</v>
      </c>
      <c r="AP18" s="223">
        <f>SUM(AG18:AO18)</f>
        <v>446.2999999999999</v>
      </c>
    </row>
    <row r="19" spans="1:42" ht="12.75" customHeight="1">
      <c r="A19" s="44"/>
      <c r="D19" s="82"/>
      <c r="F19" s="82"/>
      <c r="H19" s="47" t="str">
        <f>IF(Q25=2, N31,N32)</f>
        <v>*Below the state retirement age - see Income tab</v>
      </c>
      <c r="K19" s="194">
        <f t="shared" si="0"/>
        <v>0</v>
      </c>
      <c r="L19" s="46" t="s">
        <v>228</v>
      </c>
      <c r="P19" s="28" t="s">
        <v>140</v>
      </c>
      <c r="W19" s="34"/>
      <c r="X19" s="34"/>
      <c r="Y19" s="34"/>
      <c r="Z19" s="34"/>
      <c r="AA19" s="133"/>
      <c r="AB19" s="201"/>
      <c r="AC19" s="199"/>
      <c r="AD19" s="199"/>
      <c r="AE19" s="218" t="s">
        <v>78</v>
      </c>
      <c r="AF19" s="205" t="s">
        <v>72</v>
      </c>
      <c r="AG19" s="219">
        <v>85.2</v>
      </c>
      <c r="AH19" s="220">
        <v>14.8</v>
      </c>
      <c r="AI19" s="220">
        <v>1.3</v>
      </c>
      <c r="AJ19" s="220">
        <v>40.5</v>
      </c>
      <c r="AK19" s="220">
        <v>4.7</v>
      </c>
      <c r="AL19" s="220">
        <v>17.899999999999999</v>
      </c>
      <c r="AM19" s="220">
        <v>38.4</v>
      </c>
      <c r="AN19" s="221">
        <v>44.7</v>
      </c>
      <c r="AO19" s="222">
        <v>35.6</v>
      </c>
      <c r="AP19" s="223">
        <f>SUM(AG19:AO19)</f>
        <v>283.10000000000002</v>
      </c>
    </row>
    <row r="20" spans="1:42" ht="12.75" customHeight="1">
      <c r="A20" s="44"/>
      <c r="K20" s="224"/>
      <c r="AB20" s="201" t="s">
        <v>79</v>
      </c>
      <c r="AC20" s="199" t="s">
        <v>80</v>
      </c>
      <c r="AD20" s="199"/>
      <c r="AE20" s="218" t="s">
        <v>81</v>
      </c>
      <c r="AF20" s="205" t="s">
        <v>80</v>
      </c>
      <c r="AG20" s="219">
        <v>63.3</v>
      </c>
      <c r="AH20" s="220">
        <v>15.5</v>
      </c>
      <c r="AI20" s="220">
        <v>4.2</v>
      </c>
      <c r="AJ20" s="220">
        <v>57.1</v>
      </c>
      <c r="AK20" s="220">
        <v>7.1</v>
      </c>
      <c r="AL20" s="220">
        <v>25.2</v>
      </c>
      <c r="AM20" s="220">
        <v>48.7</v>
      </c>
      <c r="AN20" s="221">
        <v>40.6</v>
      </c>
      <c r="AO20" s="222">
        <v>23.5</v>
      </c>
      <c r="AP20" s="223">
        <f t="shared" ref="AP20:AP25" si="1">SUM(AG20:AO20)</f>
        <v>285.2</v>
      </c>
    </row>
    <row r="21" spans="1:42" ht="12.75" customHeight="1">
      <c r="A21" s="24" t="s">
        <v>94</v>
      </c>
      <c r="F21" s="44"/>
      <c r="G21" s="225"/>
      <c r="O21" s="580" t="s">
        <v>350</v>
      </c>
      <c r="P21" s="580"/>
      <c r="Q21" s="580"/>
      <c r="V21" s="92"/>
      <c r="W21" s="92"/>
      <c r="X21" s="92"/>
      <c r="Y21" s="92"/>
      <c r="AB21" s="201" t="s">
        <v>143</v>
      </c>
      <c r="AC21" s="205" t="s">
        <v>144</v>
      </c>
      <c r="AD21" s="199"/>
      <c r="AE21" s="218" t="s">
        <v>84</v>
      </c>
      <c r="AF21" s="205" t="s">
        <v>85</v>
      </c>
      <c r="AG21" s="219">
        <v>86</v>
      </c>
      <c r="AH21" s="220">
        <v>21.3</v>
      </c>
      <c r="AI21" s="220">
        <v>5.4</v>
      </c>
      <c r="AJ21" s="220">
        <v>69.7</v>
      </c>
      <c r="AK21" s="220">
        <v>11.3</v>
      </c>
      <c r="AL21" s="220">
        <v>26.7</v>
      </c>
      <c r="AM21" s="220">
        <v>68</v>
      </c>
      <c r="AN21" s="221">
        <v>94.4</v>
      </c>
      <c r="AO21" s="222">
        <v>53.4</v>
      </c>
      <c r="AP21" s="223">
        <f t="shared" si="1"/>
        <v>436.19999999999993</v>
      </c>
    </row>
    <row r="22" spans="1:42" ht="12.75" customHeight="1">
      <c r="A22" s="82" t="s">
        <v>70</v>
      </c>
      <c r="C22" s="99" t="s">
        <v>105</v>
      </c>
      <c r="D22" s="42">
        <v>2</v>
      </c>
      <c r="F22" s="571" t="s">
        <v>408</v>
      </c>
      <c r="G22" s="572"/>
      <c r="H22" s="572"/>
      <c r="I22" s="573"/>
      <c r="K22" s="224"/>
      <c r="O22" s="588" t="s">
        <v>351</v>
      </c>
      <c r="P22" s="589"/>
      <c r="Q22" s="590"/>
      <c r="W22" s="92"/>
      <c r="X22" s="92"/>
      <c r="Y22" s="92"/>
      <c r="AB22" s="201" t="s">
        <v>83</v>
      </c>
      <c r="AC22" s="199" t="s">
        <v>13</v>
      </c>
      <c r="AD22" s="199"/>
      <c r="AE22" s="218" t="s">
        <v>87</v>
      </c>
      <c r="AF22" s="205" t="s">
        <v>88</v>
      </c>
      <c r="AG22" s="219">
        <v>89.2</v>
      </c>
      <c r="AH22" s="220">
        <v>22.6</v>
      </c>
      <c r="AI22" s="220">
        <v>6</v>
      </c>
      <c r="AJ22" s="220">
        <v>84</v>
      </c>
      <c r="AK22" s="220">
        <v>12.3</v>
      </c>
      <c r="AL22" s="220">
        <v>44.2</v>
      </c>
      <c r="AM22" s="220">
        <v>105</v>
      </c>
      <c r="AN22" s="221">
        <v>119.5</v>
      </c>
      <c r="AO22" s="222">
        <v>47.2</v>
      </c>
      <c r="AP22" s="223">
        <f t="shared" si="1"/>
        <v>530</v>
      </c>
    </row>
    <row r="23" spans="1:42" ht="12.75" customHeight="1">
      <c r="A23" s="82" t="s">
        <v>73</v>
      </c>
      <c r="D23" s="42">
        <v>0</v>
      </c>
      <c r="F23" s="574"/>
      <c r="G23" s="575"/>
      <c r="H23" s="575"/>
      <c r="I23" s="576"/>
      <c r="K23" s="227" t="s">
        <v>6</v>
      </c>
      <c r="O23" s="61" t="s">
        <v>358</v>
      </c>
      <c r="P23" s="186" t="str">
        <f>Income!D12</f>
        <v>No</v>
      </c>
      <c r="Q23" s="186">
        <f>IF(P23="No",0,IF(P23="Yes",1,IF(P23="N/a",0)))</f>
        <v>0</v>
      </c>
      <c r="R23" s="228" t="s">
        <v>361</v>
      </c>
      <c r="W23" s="92"/>
      <c r="X23" s="92"/>
      <c r="Y23" s="92"/>
      <c r="AB23" s="201" t="s">
        <v>86</v>
      </c>
      <c r="AC23" s="199" t="s">
        <v>85</v>
      </c>
      <c r="AD23" s="199"/>
      <c r="AE23" s="218" t="s">
        <v>91</v>
      </c>
      <c r="AF23" s="205" t="s">
        <v>92</v>
      </c>
      <c r="AG23" s="219">
        <v>100.6</v>
      </c>
      <c r="AH23" s="220">
        <v>23.8</v>
      </c>
      <c r="AI23" s="220">
        <v>6.7</v>
      </c>
      <c r="AJ23" s="220">
        <v>89.5</v>
      </c>
      <c r="AK23" s="220">
        <v>13.4</v>
      </c>
      <c r="AL23" s="220">
        <v>35.200000000000003</v>
      </c>
      <c r="AM23" s="220">
        <v>91.9</v>
      </c>
      <c r="AN23" s="221">
        <v>94.3</v>
      </c>
      <c r="AO23" s="222">
        <v>51.3</v>
      </c>
      <c r="AP23" s="223">
        <f t="shared" si="1"/>
        <v>506.70000000000005</v>
      </c>
    </row>
    <row r="24" spans="1:42">
      <c r="G24" s="229"/>
      <c r="K24" s="227" t="s">
        <v>27</v>
      </c>
      <c r="O24" s="61" t="s">
        <v>1</v>
      </c>
      <c r="P24" s="186" t="str">
        <f>Income!G12</f>
        <v>No</v>
      </c>
      <c r="Q24" s="186">
        <f>IF(P24="No",0,IF(P24="Yes",1,IF(P24="N/a",0)))</f>
        <v>0</v>
      </c>
      <c r="R24" s="28">
        <v>0</v>
      </c>
      <c r="S24" s="46" t="s">
        <v>363</v>
      </c>
      <c r="V24" s="92"/>
      <c r="W24" s="92"/>
      <c r="X24" s="92"/>
      <c r="Y24" s="92"/>
      <c r="AB24" s="201" t="s">
        <v>90</v>
      </c>
      <c r="AC24" s="199" t="s">
        <v>88</v>
      </c>
      <c r="AD24" s="199"/>
      <c r="AE24" s="201" t="s">
        <v>143</v>
      </c>
      <c r="AF24" s="205" t="s">
        <v>144</v>
      </c>
      <c r="AG24" s="219">
        <v>41.5</v>
      </c>
      <c r="AH24" s="220">
        <v>9.5</v>
      </c>
      <c r="AI24" s="220">
        <v>3.5</v>
      </c>
      <c r="AJ24" s="220">
        <v>33.700000000000003</v>
      </c>
      <c r="AK24" s="220">
        <v>6</v>
      </c>
      <c r="AL24" s="220">
        <v>7.3</v>
      </c>
      <c r="AM24" s="220">
        <v>39</v>
      </c>
      <c r="AN24" s="221">
        <v>23.3</v>
      </c>
      <c r="AO24" s="222">
        <v>22.5</v>
      </c>
      <c r="AP24" s="223">
        <f t="shared" si="1"/>
        <v>186.3</v>
      </c>
    </row>
    <row r="25" spans="1:42">
      <c r="A25" s="24" t="s">
        <v>490</v>
      </c>
      <c r="C25" s="23" t="s">
        <v>138</v>
      </c>
      <c r="D25" s="230" t="str">
        <f>IF(C25="No","ONS data can be pre-populated by selecting 'Yes' unless already overtyped.",IF(C25="Yes","The expenditure cells in purple below are populated with ONS data but these can be overtyped.  Once overtyped the ONS data cannot be re-populated."))</f>
        <v>The expenditure cells in purple below are populated with ONS data but these can be overtyped.  Once overtyped the ONS data cannot be re-populated.</v>
      </c>
      <c r="K25" s="227" t="s">
        <v>8</v>
      </c>
      <c r="O25" s="231"/>
      <c r="P25" s="61" t="s">
        <v>349</v>
      </c>
      <c r="Q25" s="186">
        <f>IF(Q23+Q24&gt;=1,2,0)</f>
        <v>0</v>
      </c>
      <c r="R25" s="28">
        <v>2</v>
      </c>
      <c r="S25" s="46" t="s">
        <v>362</v>
      </c>
      <c r="V25" s="92"/>
      <c r="W25" s="92"/>
      <c r="X25" s="92"/>
      <c r="Y25" s="92"/>
      <c r="AB25" s="201" t="s">
        <v>93</v>
      </c>
      <c r="AC25" s="199" t="s">
        <v>92</v>
      </c>
      <c r="AD25" s="218"/>
      <c r="AE25" s="201" t="s">
        <v>145</v>
      </c>
      <c r="AF25" s="205" t="s">
        <v>146</v>
      </c>
      <c r="AG25" s="219">
        <v>53.3</v>
      </c>
      <c r="AH25" s="220">
        <v>14.6</v>
      </c>
      <c r="AI25" s="220">
        <v>11.8</v>
      </c>
      <c r="AJ25" s="220">
        <v>64.599999999999994</v>
      </c>
      <c r="AK25" s="220">
        <v>14</v>
      </c>
      <c r="AL25" s="220">
        <v>19</v>
      </c>
      <c r="AM25" s="220">
        <v>92.6</v>
      </c>
      <c r="AN25" s="221">
        <v>66.599999999999994</v>
      </c>
      <c r="AO25" s="222">
        <v>39</v>
      </c>
      <c r="AP25" s="223">
        <f t="shared" si="1"/>
        <v>375.5</v>
      </c>
    </row>
    <row r="26" spans="1:42">
      <c r="G26" s="110"/>
      <c r="V26" s="92"/>
      <c r="W26" s="92"/>
      <c r="X26" s="92"/>
      <c r="Y26" s="92"/>
      <c r="AB26" s="201" t="s">
        <v>145</v>
      </c>
      <c r="AC26" s="205" t="s">
        <v>146</v>
      </c>
      <c r="AD26" s="218"/>
      <c r="AE26" s="203"/>
      <c r="AF26" s="203"/>
      <c r="AG26" s="232"/>
      <c r="AH26" s="233"/>
      <c r="AI26" s="233"/>
      <c r="AJ26" s="233"/>
      <c r="AK26" s="233"/>
      <c r="AL26" s="233"/>
      <c r="AM26" s="234"/>
      <c r="AN26" s="235"/>
      <c r="AO26" s="236"/>
    </row>
    <row r="27" spans="1:42" ht="12.75" customHeight="1">
      <c r="A27" s="24" t="s">
        <v>29</v>
      </c>
      <c r="H27" s="237" t="s">
        <v>532</v>
      </c>
      <c r="I27" s="596" t="str">
        <f>N156</f>
        <v>2 adults, no children</v>
      </c>
      <c r="J27" s="596"/>
      <c r="N27" s="238" t="s">
        <v>399</v>
      </c>
      <c r="O27" s="580" t="s">
        <v>373</v>
      </c>
      <c r="P27" s="580"/>
      <c r="Q27" s="580"/>
      <c r="R27" s="228" t="s">
        <v>361</v>
      </c>
      <c r="V27" s="92"/>
      <c r="W27" s="92"/>
      <c r="X27" s="92"/>
      <c r="Y27" s="92"/>
      <c r="AB27" s="201"/>
      <c r="AC27" s="199"/>
      <c r="AD27" s="199"/>
      <c r="AE27" s="239" t="s">
        <v>8</v>
      </c>
      <c r="AF27" s="203"/>
      <c r="AG27" s="207"/>
      <c r="AH27" s="203"/>
      <c r="AI27" s="203"/>
      <c r="AJ27" s="203"/>
      <c r="AK27" s="203"/>
      <c r="AL27" s="203"/>
      <c r="AM27" s="203"/>
      <c r="AN27" s="207"/>
      <c r="AO27" s="203"/>
    </row>
    <row r="28" spans="1:42" ht="12.75" customHeight="1">
      <c r="A28" s="39" t="s">
        <v>220</v>
      </c>
      <c r="D28" s="1">
        <v>0</v>
      </c>
      <c r="F28" s="193" t="s">
        <v>8</v>
      </c>
      <c r="K28" s="224">
        <f t="shared" ref="K28:K36" si="2">IF(F28=$K$2,D28*12,IF(F28=$K$3,D28*52,D28))</f>
        <v>0</v>
      </c>
      <c r="N28" s="168" t="str">
        <f>IF(Income!O82=10%,"Yes","No")</f>
        <v>Yes</v>
      </c>
      <c r="O28" s="238" t="str">
        <f>IF(N28="Yes","Paid Income","Assume retired")</f>
        <v>Paid Income</v>
      </c>
      <c r="P28" s="186">
        <f>IF(N28="Yes",1,0)</f>
        <v>1</v>
      </c>
      <c r="Q28" s="186">
        <f>IF(P28&lt;1,2,1)</f>
        <v>1</v>
      </c>
      <c r="R28" s="28">
        <v>1</v>
      </c>
      <c r="S28" s="46" t="s">
        <v>374</v>
      </c>
      <c r="T28" s="240">
        <v>0.1</v>
      </c>
      <c r="AB28" s="201"/>
      <c r="AC28" s="199"/>
      <c r="AD28" s="199"/>
      <c r="AE28" s="218"/>
      <c r="AF28" s="203"/>
      <c r="AG28" s="207"/>
      <c r="AH28" s="203"/>
      <c r="AI28" s="203"/>
      <c r="AJ28" s="203"/>
      <c r="AK28" s="203"/>
      <c r="AL28" s="203"/>
      <c r="AM28" s="203"/>
      <c r="AN28" s="207"/>
      <c r="AO28" s="203"/>
    </row>
    <row r="29" spans="1:42">
      <c r="A29" s="39" t="s">
        <v>221</v>
      </c>
      <c r="D29" s="1">
        <v>0</v>
      </c>
      <c r="F29" s="193" t="s">
        <v>8</v>
      </c>
      <c r="K29" s="224">
        <f t="shared" si="2"/>
        <v>0</v>
      </c>
      <c r="O29" s="581" t="s">
        <v>379</v>
      </c>
      <c r="P29" s="582"/>
      <c r="Q29" s="241">
        <f>Income!O82</f>
        <v>0.1</v>
      </c>
      <c r="R29" s="28">
        <v>2</v>
      </c>
      <c r="S29" s="46" t="s">
        <v>375</v>
      </c>
      <c r="T29" s="240">
        <v>0.2</v>
      </c>
      <c r="AB29" s="201"/>
      <c r="AC29" s="199"/>
      <c r="AD29" s="199"/>
      <c r="AE29" s="218" t="s">
        <v>74</v>
      </c>
      <c r="AF29" s="205" t="s">
        <v>75</v>
      </c>
      <c r="AG29" s="242">
        <f>AG17*4.333333333333</f>
        <v>304.63333333330991</v>
      </c>
      <c r="AH29" s="243">
        <f t="shared" ref="AH29:AO29" si="3">AH17*4.333333333333</f>
        <v>50.2666666666628</v>
      </c>
      <c r="AI29" s="243">
        <f t="shared" si="3"/>
        <v>23.833333333331499</v>
      </c>
      <c r="AJ29" s="243">
        <f t="shared" si="3"/>
        <v>136.0666666666562</v>
      </c>
      <c r="AK29" s="243">
        <f t="shared" si="3"/>
        <v>40.299999999996906</v>
      </c>
      <c r="AL29" s="243">
        <f t="shared" si="3"/>
        <v>42.4666666666634</v>
      </c>
      <c r="AM29" s="243">
        <f t="shared" si="3"/>
        <v>179.8333333333195</v>
      </c>
      <c r="AN29" s="242">
        <f t="shared" si="3"/>
        <v>196.29999999998489</v>
      </c>
      <c r="AO29" s="243">
        <f t="shared" si="3"/>
        <v>116.5666666666577</v>
      </c>
      <c r="AP29" s="223">
        <f>SUM(AG29:AO29)</f>
        <v>1090.2666666665828</v>
      </c>
    </row>
    <row r="30" spans="1:42">
      <c r="A30" s="39" t="s">
        <v>195</v>
      </c>
      <c r="D30" s="192">
        <f>Y35</f>
        <v>0</v>
      </c>
      <c r="F30" s="193" t="s">
        <v>8</v>
      </c>
      <c r="K30" s="224">
        <f t="shared" si="2"/>
        <v>0</v>
      </c>
      <c r="M30" s="28" t="s">
        <v>35</v>
      </c>
      <c r="Q30" s="199"/>
      <c r="AB30" s="201"/>
      <c r="AC30" s="199"/>
      <c r="AD30" s="199"/>
      <c r="AE30" s="218" t="s">
        <v>77</v>
      </c>
      <c r="AF30" s="205" t="s">
        <v>13</v>
      </c>
      <c r="AG30" s="242">
        <f t="shared" ref="AG30:AO30" si="4">AG18*4.333333333333</f>
        <v>364.43333333330526</v>
      </c>
      <c r="AH30" s="243">
        <f t="shared" si="4"/>
        <v>84.9333333333268</v>
      </c>
      <c r="AI30" s="243">
        <f t="shared" si="4"/>
        <v>31.199999999997601</v>
      </c>
      <c r="AJ30" s="243">
        <f t="shared" si="4"/>
        <v>264.33333333331302</v>
      </c>
      <c r="AK30" s="243">
        <f t="shared" si="4"/>
        <v>65.866666666661601</v>
      </c>
      <c r="AL30" s="243">
        <f t="shared" si="4"/>
        <v>108.76666666665831</v>
      </c>
      <c r="AM30" s="243">
        <f t="shared" si="4"/>
        <v>376.99999999997101</v>
      </c>
      <c r="AN30" s="242">
        <f t="shared" si="4"/>
        <v>422.06666666663421</v>
      </c>
      <c r="AO30" s="243">
        <f t="shared" si="4"/>
        <v>215.3666666666501</v>
      </c>
      <c r="AP30" s="223">
        <f t="shared" ref="AP30:AP37" si="5">SUM(AG30:AO30)</f>
        <v>1933.9666666665182</v>
      </c>
    </row>
    <row r="31" spans="1:42">
      <c r="A31" s="39" t="s">
        <v>30</v>
      </c>
      <c r="D31" s="1">
        <v>0</v>
      </c>
      <c r="F31" s="193" t="s">
        <v>8</v>
      </c>
      <c r="H31" s="244"/>
      <c r="K31" s="224">
        <f t="shared" si="2"/>
        <v>0</v>
      </c>
      <c r="N31" s="46" t="s">
        <v>457</v>
      </c>
      <c r="Q31" s="199"/>
      <c r="R31" s="245"/>
      <c r="S31" s="46"/>
      <c r="AC31" s="199"/>
      <c r="AD31" s="199"/>
      <c r="AE31" s="218" t="s">
        <v>78</v>
      </c>
      <c r="AF31" s="205" t="s">
        <v>72</v>
      </c>
      <c r="AG31" s="242">
        <f t="shared" ref="AG31:AO31" si="6">AG19*4.333333333333</f>
        <v>369.19999999997162</v>
      </c>
      <c r="AH31" s="243">
        <f t="shared" si="6"/>
        <v>64.133333333328409</v>
      </c>
      <c r="AI31" s="243">
        <f t="shared" si="6"/>
        <v>5.6333333333329003</v>
      </c>
      <c r="AJ31" s="243">
        <f t="shared" si="6"/>
        <v>175.4999999999865</v>
      </c>
      <c r="AK31" s="243">
        <f t="shared" si="6"/>
        <v>20.3666666666651</v>
      </c>
      <c r="AL31" s="243">
        <f t="shared" si="6"/>
        <v>77.566666666660694</v>
      </c>
      <c r="AM31" s="243">
        <f t="shared" si="6"/>
        <v>166.39999999998719</v>
      </c>
      <c r="AN31" s="242">
        <f t="shared" si="6"/>
        <v>193.69999999998512</v>
      </c>
      <c r="AO31" s="243">
        <f t="shared" si="6"/>
        <v>154.2666666666548</v>
      </c>
      <c r="AP31" s="223">
        <f t="shared" si="5"/>
        <v>1226.7666666665723</v>
      </c>
    </row>
    <row r="32" spans="1:42" ht="12.75" customHeight="1">
      <c r="A32" s="39" t="s">
        <v>9</v>
      </c>
      <c r="D32" s="192">
        <f>H34*I34</f>
        <v>0</v>
      </c>
      <c r="F32" s="193" t="s">
        <v>8</v>
      </c>
      <c r="H32" s="545" t="s">
        <v>10</v>
      </c>
      <c r="I32" s="546"/>
      <c r="J32" s="176"/>
      <c r="K32" s="224">
        <f t="shared" si="2"/>
        <v>0</v>
      </c>
      <c r="N32" s="46" t="s">
        <v>458</v>
      </c>
      <c r="P32" s="199"/>
      <c r="Q32" s="199"/>
      <c r="W32" s="24" t="s">
        <v>192</v>
      </c>
      <c r="AB32" s="246" t="s">
        <v>387</v>
      </c>
      <c r="AC32" s="247"/>
      <c r="AD32" s="199"/>
      <c r="AE32" s="218" t="s">
        <v>81</v>
      </c>
      <c r="AF32" s="205" t="s">
        <v>80</v>
      </c>
      <c r="AG32" s="242">
        <f t="shared" ref="AG32:AO32" si="7">AG20*4.333333333333</f>
        <v>274.29999999997887</v>
      </c>
      <c r="AH32" s="243">
        <f t="shared" si="7"/>
        <v>67.166666666661499</v>
      </c>
      <c r="AI32" s="243">
        <f t="shared" si="7"/>
        <v>18.1999999999986</v>
      </c>
      <c r="AJ32" s="243">
        <f t="shared" si="7"/>
        <v>247.43333333331429</v>
      </c>
      <c r="AK32" s="243">
        <f t="shared" si="7"/>
        <v>30.7666666666643</v>
      </c>
      <c r="AL32" s="243">
        <f t="shared" si="7"/>
        <v>109.19999999999159</v>
      </c>
      <c r="AM32" s="243">
        <f t="shared" si="7"/>
        <v>211.0333333333171</v>
      </c>
      <c r="AN32" s="242">
        <f t="shared" si="7"/>
        <v>175.93333333331981</v>
      </c>
      <c r="AO32" s="243">
        <f t="shared" si="7"/>
        <v>101.8333333333255</v>
      </c>
      <c r="AP32" s="223">
        <f t="shared" si="5"/>
        <v>1235.8666666665715</v>
      </c>
    </row>
    <row r="33" spans="1:46">
      <c r="A33" s="39" t="s">
        <v>2</v>
      </c>
      <c r="D33" s="1">
        <v>0</v>
      </c>
      <c r="F33" s="193" t="s">
        <v>8</v>
      </c>
      <c r="H33" s="193" t="s">
        <v>11</v>
      </c>
      <c r="I33" s="248" t="s">
        <v>12</v>
      </c>
      <c r="J33" s="249"/>
      <c r="K33" s="224">
        <f t="shared" si="2"/>
        <v>0</v>
      </c>
      <c r="M33" s="46"/>
      <c r="W33" s="82" t="s">
        <v>193</v>
      </c>
      <c r="Y33" s="7">
        <v>0</v>
      </c>
      <c r="AB33" s="250" t="s">
        <v>382</v>
      </c>
      <c r="AC33" s="251" t="s">
        <v>75</v>
      </c>
      <c r="AD33" s="199"/>
      <c r="AE33" s="218" t="s">
        <v>84</v>
      </c>
      <c r="AF33" s="205" t="s">
        <v>85</v>
      </c>
      <c r="AG33" s="242">
        <f t="shared" ref="AG33:AO33" si="8">AG21*4.333333333333</f>
        <v>372.66666666663798</v>
      </c>
      <c r="AH33" s="243">
        <f t="shared" si="8"/>
        <v>92.299999999992906</v>
      </c>
      <c r="AI33" s="243">
        <f t="shared" si="8"/>
        <v>23.399999999998201</v>
      </c>
      <c r="AJ33" s="243">
        <f t="shared" si="8"/>
        <v>302.03333333331011</v>
      </c>
      <c r="AK33" s="243">
        <f t="shared" si="8"/>
        <v>48.966666666662903</v>
      </c>
      <c r="AL33" s="243">
        <f t="shared" si="8"/>
        <v>115.69999999999109</v>
      </c>
      <c r="AM33" s="243">
        <f t="shared" si="8"/>
        <v>294.66666666664401</v>
      </c>
      <c r="AN33" s="242">
        <f t="shared" si="8"/>
        <v>409.06666666663523</v>
      </c>
      <c r="AO33" s="243">
        <f t="shared" si="8"/>
        <v>231.39999999998219</v>
      </c>
      <c r="AP33" s="223">
        <f t="shared" si="5"/>
        <v>1890.1999999998545</v>
      </c>
    </row>
    <row r="34" spans="1:46">
      <c r="A34" s="39"/>
      <c r="D34" s="82"/>
      <c r="F34" s="82"/>
      <c r="H34" s="22">
        <v>0</v>
      </c>
      <c r="I34" s="252">
        <v>0.03</v>
      </c>
      <c r="J34" s="253"/>
      <c r="K34" s="224">
        <f t="shared" si="2"/>
        <v>0</v>
      </c>
      <c r="W34" s="82" t="s">
        <v>46</v>
      </c>
      <c r="Y34" s="7">
        <v>0</v>
      </c>
      <c r="Z34" s="254">
        <f>Y33*130%</f>
        <v>0</v>
      </c>
      <c r="AB34" s="250" t="s">
        <v>383</v>
      </c>
      <c r="AC34" s="251" t="s">
        <v>13</v>
      </c>
      <c r="AD34" s="199"/>
      <c r="AE34" s="218" t="s">
        <v>87</v>
      </c>
      <c r="AF34" s="205" t="s">
        <v>88</v>
      </c>
      <c r="AG34" s="242">
        <f t="shared" ref="AG34:AO34" si="9">AG22*4.333333333333</f>
        <v>386.53333333330363</v>
      </c>
      <c r="AH34" s="243">
        <f t="shared" si="9"/>
        <v>97.933333333325805</v>
      </c>
      <c r="AI34" s="243">
        <f t="shared" si="9"/>
        <v>25.999999999998</v>
      </c>
      <c r="AJ34" s="243">
        <f t="shared" si="9"/>
        <v>363.99999999997198</v>
      </c>
      <c r="AK34" s="243">
        <f t="shared" si="9"/>
        <v>53.299999999995904</v>
      </c>
      <c r="AL34" s="243">
        <f t="shared" si="9"/>
        <v>191.53333333331861</v>
      </c>
      <c r="AM34" s="243">
        <f t="shared" si="9"/>
        <v>454.99999999996498</v>
      </c>
      <c r="AN34" s="242">
        <f t="shared" si="9"/>
        <v>517.83333333329347</v>
      </c>
      <c r="AO34" s="243">
        <f t="shared" si="9"/>
        <v>204.53333333331761</v>
      </c>
      <c r="AP34" s="223">
        <f t="shared" si="5"/>
        <v>2296.6666666664896</v>
      </c>
    </row>
    <row r="35" spans="1:46">
      <c r="A35" s="39" t="s">
        <v>219</v>
      </c>
      <c r="D35" s="1">
        <v>0</v>
      </c>
      <c r="F35" s="193" t="s">
        <v>8</v>
      </c>
      <c r="H35" s="244"/>
      <c r="K35" s="224">
        <f t="shared" si="2"/>
        <v>0</v>
      </c>
      <c r="N35" s="255" t="s">
        <v>372</v>
      </c>
      <c r="O35" s="55"/>
      <c r="W35" s="82" t="s">
        <v>194</v>
      </c>
      <c r="Y35" s="256">
        <f>Z34-Y34</f>
        <v>0</v>
      </c>
      <c r="AB35" s="250" t="s">
        <v>71</v>
      </c>
      <c r="AC35" s="251" t="s">
        <v>72</v>
      </c>
      <c r="AD35" s="199"/>
      <c r="AE35" s="218" t="s">
        <v>91</v>
      </c>
      <c r="AF35" s="205" t="s">
        <v>92</v>
      </c>
      <c r="AG35" s="242">
        <f t="shared" ref="AG35:AO35" si="10">AG23*4.333333333333</f>
        <v>435.9333333332998</v>
      </c>
      <c r="AH35" s="243">
        <f t="shared" si="10"/>
        <v>103.1333333333254</v>
      </c>
      <c r="AI35" s="243">
        <f t="shared" si="10"/>
        <v>29.0333333333311</v>
      </c>
      <c r="AJ35" s="243">
        <f t="shared" si="10"/>
        <v>387.83333333330347</v>
      </c>
      <c r="AK35" s="243">
        <f t="shared" si="10"/>
        <v>58.066666666662201</v>
      </c>
      <c r="AL35" s="243">
        <f t="shared" si="10"/>
        <v>152.53333333332162</v>
      </c>
      <c r="AM35" s="243">
        <f t="shared" si="10"/>
        <v>398.23333333330271</v>
      </c>
      <c r="AN35" s="242">
        <f t="shared" si="10"/>
        <v>408.63333333330189</v>
      </c>
      <c r="AO35" s="243">
        <f t="shared" si="10"/>
        <v>222.29999999998287</v>
      </c>
      <c r="AP35" s="223">
        <f t="shared" si="5"/>
        <v>2195.6999999998311</v>
      </c>
    </row>
    <row r="36" spans="1:46">
      <c r="A36" s="39" t="s">
        <v>222</v>
      </c>
      <c r="D36" s="1">
        <v>0</v>
      </c>
      <c r="E36" s="82" t="s">
        <v>35</v>
      </c>
      <c r="F36" s="193" t="s">
        <v>8</v>
      </c>
      <c r="K36" s="224">
        <f t="shared" si="2"/>
        <v>0</v>
      </c>
      <c r="N36" s="257">
        <v>1</v>
      </c>
      <c r="O36" s="258" t="s">
        <v>389</v>
      </c>
      <c r="P36" s="55"/>
      <c r="Q36" s="55"/>
      <c r="R36" s="55"/>
      <c r="AB36" s="250" t="s">
        <v>386</v>
      </c>
      <c r="AC36" s="251" t="s">
        <v>80</v>
      </c>
      <c r="AD36" s="199"/>
      <c r="AE36" s="201" t="s">
        <v>143</v>
      </c>
      <c r="AF36" s="205" t="s">
        <v>144</v>
      </c>
      <c r="AG36" s="242">
        <f t="shared" ref="AG36:AO36" si="11">AG24*4.333333333333</f>
        <v>179.8333333333195</v>
      </c>
      <c r="AH36" s="243">
        <f t="shared" si="11"/>
        <v>41.166666666663502</v>
      </c>
      <c r="AI36" s="243">
        <f t="shared" si="11"/>
        <v>15.166666666665499</v>
      </c>
      <c r="AJ36" s="243">
        <f t="shared" si="11"/>
        <v>146.0333333333221</v>
      </c>
      <c r="AK36" s="243">
        <f t="shared" si="11"/>
        <v>25.999999999998</v>
      </c>
      <c r="AL36" s="243">
        <f t="shared" si="11"/>
        <v>31.633333333330899</v>
      </c>
      <c r="AM36" s="243">
        <f t="shared" si="11"/>
        <v>168.99999999998701</v>
      </c>
      <c r="AN36" s="242">
        <f t="shared" si="11"/>
        <v>100.96666666665891</v>
      </c>
      <c r="AO36" s="243">
        <f t="shared" si="11"/>
        <v>97.499999999992497</v>
      </c>
      <c r="AP36" s="223">
        <f t="shared" si="5"/>
        <v>807.29999999993788</v>
      </c>
    </row>
    <row r="37" spans="1:46">
      <c r="K37" s="224"/>
      <c r="N37" s="257">
        <v>2</v>
      </c>
      <c r="O37" s="258" t="s">
        <v>390</v>
      </c>
      <c r="P37" s="55"/>
      <c r="Q37" s="55"/>
      <c r="R37" s="55"/>
      <c r="AB37" s="250" t="s">
        <v>86</v>
      </c>
      <c r="AC37" s="251" t="s">
        <v>85</v>
      </c>
      <c r="AD37" s="199"/>
      <c r="AE37" s="201" t="s">
        <v>145</v>
      </c>
      <c r="AF37" s="205" t="s">
        <v>146</v>
      </c>
      <c r="AG37" s="242">
        <f t="shared" ref="AG37:AO37" si="12">AG25*4.333333333333</f>
        <v>230.96666666664888</v>
      </c>
      <c r="AH37" s="243">
        <f t="shared" si="12"/>
        <v>63.266666666661799</v>
      </c>
      <c r="AI37" s="243">
        <f t="shared" si="12"/>
        <v>51.133333333329404</v>
      </c>
      <c r="AJ37" s="243">
        <f t="shared" si="12"/>
        <v>279.93333333331179</v>
      </c>
      <c r="AK37" s="243">
        <f t="shared" si="12"/>
        <v>60.666666666661996</v>
      </c>
      <c r="AL37" s="243">
        <f t="shared" si="12"/>
        <v>82.333333333327005</v>
      </c>
      <c r="AM37" s="243">
        <f t="shared" si="12"/>
        <v>401.26666666663579</v>
      </c>
      <c r="AN37" s="242">
        <f t="shared" si="12"/>
        <v>288.5999999999778</v>
      </c>
      <c r="AO37" s="243">
        <f t="shared" si="12"/>
        <v>168.99999999998701</v>
      </c>
      <c r="AP37" s="223">
        <f t="shared" si="5"/>
        <v>1627.1666666665415</v>
      </c>
      <c r="AT37" s="82" t="s">
        <v>35</v>
      </c>
    </row>
    <row r="38" spans="1:46">
      <c r="A38" s="24" t="s">
        <v>31</v>
      </c>
      <c r="K38" s="224"/>
      <c r="AB38" s="250" t="s">
        <v>90</v>
      </c>
      <c r="AC38" s="251" t="s">
        <v>88</v>
      </c>
      <c r="AD38" s="199"/>
    </row>
    <row r="39" spans="1:46" ht="12.75" customHeight="1">
      <c r="A39" s="39" t="s">
        <v>491</v>
      </c>
      <c r="D39" s="455">
        <f>IF($C$25="Yes",P157,0)</f>
        <v>264.33333333331302</v>
      </c>
      <c r="F39" s="193" t="s">
        <v>8</v>
      </c>
      <c r="K39" s="224">
        <f>IF(F39=$K$2,D39*12,IF(F39=$K$3,D39*52,D39))</f>
        <v>3171.9999999997563</v>
      </c>
      <c r="L39" s="28" t="s">
        <v>89</v>
      </c>
      <c r="W39" s="259" t="s">
        <v>183</v>
      </c>
      <c r="X39" s="259"/>
      <c r="Y39" s="597" t="s">
        <v>534</v>
      </c>
      <c r="Z39" s="597"/>
      <c r="AA39" s="28" t="s">
        <v>35</v>
      </c>
      <c r="AB39" s="250" t="s">
        <v>384</v>
      </c>
      <c r="AC39" s="251" t="s">
        <v>92</v>
      </c>
      <c r="AD39" s="199"/>
    </row>
    <row r="40" spans="1:46">
      <c r="A40" s="39" t="s">
        <v>492</v>
      </c>
      <c r="D40" s="455">
        <f>IF($C$25="Yes",P158+P159+P160,0)</f>
        <v>134.333333333323</v>
      </c>
      <c r="F40" s="193" t="s">
        <v>8</v>
      </c>
      <c r="K40" s="224">
        <f>IF(F40=$K$2,D40*12,IF(F40=$K$3,D40*52,D40))</f>
        <v>1611.9999999998759</v>
      </c>
      <c r="L40" s="28" t="s">
        <v>111</v>
      </c>
      <c r="N40" s="260" t="s">
        <v>406</v>
      </c>
      <c r="O40" s="261">
        <f>SUM(Q23:Q24)</f>
        <v>0</v>
      </c>
      <c r="T40" s="28" t="s">
        <v>35</v>
      </c>
      <c r="Y40" s="36" t="s">
        <v>0</v>
      </c>
      <c r="Z40" s="36" t="s">
        <v>1</v>
      </c>
      <c r="AB40" s="250" t="s">
        <v>143</v>
      </c>
      <c r="AC40" s="251" t="s">
        <v>144</v>
      </c>
      <c r="AD40" s="199"/>
      <c r="AE40" s="195" t="s">
        <v>332</v>
      </c>
      <c r="AF40" s="196"/>
      <c r="AG40" s="196"/>
      <c r="AH40" s="196"/>
      <c r="AI40" s="196"/>
      <c r="AJ40" s="196"/>
      <c r="AK40" s="196"/>
      <c r="AL40" s="196"/>
      <c r="AM40" s="196"/>
      <c r="AN40" s="196"/>
      <c r="AO40" s="196"/>
      <c r="AP40" s="196"/>
    </row>
    <row r="41" spans="1:46">
      <c r="A41" s="44"/>
      <c r="D41" s="82"/>
      <c r="F41" s="82"/>
      <c r="K41" s="224">
        <f>IF(F41=$K$2,D41*12,IF(F41=$K$3,D41*52,D41))</f>
        <v>0</v>
      </c>
      <c r="L41" s="28" t="s">
        <v>112</v>
      </c>
      <c r="N41" s="262" t="s">
        <v>407</v>
      </c>
      <c r="O41" s="263">
        <f>D22</f>
        <v>2</v>
      </c>
      <c r="W41" s="217" t="s">
        <v>186</v>
      </c>
      <c r="X41" s="264"/>
      <c r="Y41" s="21">
        <v>0</v>
      </c>
      <c r="Z41" s="21">
        <v>0</v>
      </c>
      <c r="AB41" s="265" t="s">
        <v>385</v>
      </c>
      <c r="AC41" s="266" t="s">
        <v>146</v>
      </c>
      <c r="AE41" s="209" t="s">
        <v>14</v>
      </c>
      <c r="AH41" s="209" t="s">
        <v>8</v>
      </c>
      <c r="AI41" s="46"/>
    </row>
    <row r="42" spans="1:46">
      <c r="A42" s="44"/>
      <c r="D42" s="82"/>
      <c r="F42" s="82"/>
      <c r="K42" s="224">
        <f>IF(F42=$K$2,D42*12,IF(F42=$K$3,D42*52,D42))</f>
        <v>0</v>
      </c>
      <c r="L42" s="28" t="s">
        <v>113</v>
      </c>
      <c r="N42" s="46"/>
      <c r="S42" s="607" t="s">
        <v>503</v>
      </c>
      <c r="T42" s="608"/>
      <c r="W42" s="217" t="s">
        <v>188</v>
      </c>
      <c r="X42" s="264"/>
      <c r="Y42" s="21">
        <v>0</v>
      </c>
      <c r="Z42" s="21">
        <v>0</v>
      </c>
      <c r="AE42" s="46" t="s">
        <v>111</v>
      </c>
      <c r="AF42" s="267">
        <v>9.5</v>
      </c>
      <c r="AG42" s="268"/>
      <c r="AH42" s="46" t="s">
        <v>111</v>
      </c>
      <c r="AI42" s="243">
        <f>AF42*4.333333333333</f>
        <v>41.166666666663502</v>
      </c>
    </row>
    <row r="43" spans="1:46">
      <c r="A43" s="39" t="s">
        <v>519</v>
      </c>
      <c r="D43" s="455">
        <f>IF($C$25="Yes",P161,0)</f>
        <v>3.4666666666664003</v>
      </c>
      <c r="F43" s="193" t="s">
        <v>8</v>
      </c>
      <c r="K43" s="224">
        <f>IF(F43=$K$2,D43*12,IF(F43=$K$3,D43*52,D43))</f>
        <v>41.599999999996804</v>
      </c>
      <c r="L43" s="28" t="s">
        <v>114</v>
      </c>
      <c r="W43" s="217" t="s">
        <v>154</v>
      </c>
      <c r="X43" s="264"/>
      <c r="Y43" s="21">
        <v>0</v>
      </c>
      <c r="Z43" s="21">
        <v>0</v>
      </c>
      <c r="AE43" s="46" t="s">
        <v>113</v>
      </c>
      <c r="AF43" s="269">
        <v>11.1</v>
      </c>
      <c r="AG43" s="268"/>
      <c r="AH43" s="46" t="s">
        <v>113</v>
      </c>
      <c r="AI43" s="243">
        <f>AF43*4.333333333333</f>
        <v>48.099999999996299</v>
      </c>
    </row>
    <row r="44" spans="1:46">
      <c r="A44" s="39" t="s">
        <v>4</v>
      </c>
      <c r="D44" s="10">
        <v>0</v>
      </c>
      <c r="E44" s="82" t="s">
        <v>105</v>
      </c>
      <c r="F44" s="193" t="s">
        <v>8</v>
      </c>
      <c r="K44" s="224">
        <f>IF(F44=$K$2,D44*10,IF(F44=$K$3,D44*44,D44))</f>
        <v>0</v>
      </c>
      <c r="N44" s="270" t="s">
        <v>413</v>
      </c>
      <c r="O44" s="271"/>
      <c r="P44" s="261"/>
      <c r="R44" s="28" t="s">
        <v>35</v>
      </c>
      <c r="S44" s="25" t="s">
        <v>499</v>
      </c>
      <c r="T44" s="272"/>
      <c r="U44" s="46"/>
      <c r="W44" s="217" t="s">
        <v>155</v>
      </c>
      <c r="X44" s="264"/>
      <c r="Y44" s="21">
        <v>0</v>
      </c>
      <c r="Z44" s="21">
        <v>0</v>
      </c>
      <c r="AE44" s="46" t="s">
        <v>112</v>
      </c>
      <c r="AF44" s="269">
        <v>10.4</v>
      </c>
      <c r="AG44" s="268"/>
      <c r="AH44" s="46" t="s">
        <v>112</v>
      </c>
      <c r="AI44" s="243">
        <f>AF44*4.333333333333</f>
        <v>45.066666666663203</v>
      </c>
    </row>
    <row r="45" spans="1:46">
      <c r="A45" s="39" t="s">
        <v>32</v>
      </c>
      <c r="D45" s="10">
        <v>0</v>
      </c>
      <c r="F45" s="193" t="s">
        <v>8</v>
      </c>
      <c r="K45" s="224">
        <f>IF(F45=$K$2,D45*12,IF(F45=$K$3,D45*52,D45))</f>
        <v>0</v>
      </c>
      <c r="N45" s="273" t="s">
        <v>410</v>
      </c>
      <c r="O45" s="55"/>
      <c r="P45" s="274">
        <f>IF(Income!D12="Yes",1,IF(Income!D12="No",1,IF(Income!D12="N/a",0)))</f>
        <v>1</v>
      </c>
      <c r="S45" s="26" t="s">
        <v>500</v>
      </c>
      <c r="T45" s="275">
        <f>SUM(Y41:AA45)</f>
        <v>0</v>
      </c>
      <c r="U45" s="46"/>
      <c r="W45" s="217" t="s">
        <v>180</v>
      </c>
      <c r="X45" s="264"/>
      <c r="Y45" s="21">
        <v>0</v>
      </c>
      <c r="Z45" s="21">
        <v>0</v>
      </c>
      <c r="AE45" s="46" t="s">
        <v>114</v>
      </c>
      <c r="AF45" s="276">
        <v>0.8</v>
      </c>
      <c r="AG45" s="268"/>
      <c r="AH45" s="46" t="s">
        <v>114</v>
      </c>
      <c r="AI45" s="243">
        <f>AF45*4.333333333333</f>
        <v>3.4666666666664003</v>
      </c>
    </row>
    <row r="46" spans="1:46">
      <c r="A46" s="39" t="s">
        <v>536</v>
      </c>
      <c r="D46" s="455">
        <f>IF($C$25="Yes",P164,0)</f>
        <v>84.9333333333268</v>
      </c>
      <c r="F46" s="193" t="s">
        <v>8</v>
      </c>
      <c r="K46" s="224">
        <f>IF(F46=$K$2,D46*12,IF(F46=$K$3,D46*52,D46))</f>
        <v>1019.1999999999216</v>
      </c>
      <c r="L46" s="28" t="s">
        <v>82</v>
      </c>
      <c r="N46" s="273" t="s">
        <v>411</v>
      </c>
      <c r="O46" s="55"/>
      <c r="P46" s="274">
        <f>IF(Income!G12="Yes",1,IF(Income!G12="No",1,IF(Income!G12="N/a",0)))</f>
        <v>1</v>
      </c>
      <c r="S46" s="27" t="s">
        <v>187</v>
      </c>
      <c r="T46" s="277">
        <f>SUM(Y46:Z46)</f>
        <v>0</v>
      </c>
      <c r="U46" s="46"/>
      <c r="W46" s="44" t="s">
        <v>187</v>
      </c>
      <c r="Y46" s="21">
        <v>0</v>
      </c>
      <c r="Z46" s="21">
        <v>0</v>
      </c>
      <c r="AE46" s="46"/>
      <c r="AF46" s="133"/>
      <c r="AG46" s="268"/>
      <c r="AH46" s="46"/>
      <c r="AI46" s="243"/>
    </row>
    <row r="47" spans="1:46" ht="13.8" thickBot="1">
      <c r="A47" s="39" t="s">
        <v>533</v>
      </c>
      <c r="B47" s="23" t="s">
        <v>139</v>
      </c>
      <c r="C47" s="278" t="str">
        <f>IF(B47="Yes","Complete travel costs","")</f>
        <v/>
      </c>
      <c r="D47" s="455">
        <f>T53</f>
        <v>0</v>
      </c>
      <c r="F47" s="193" t="s">
        <v>8</v>
      </c>
      <c r="K47" s="224">
        <f>IF(F47=$K$2,D47*12,IF(F47=$K$3,D47*52,D47))</f>
        <v>0</v>
      </c>
      <c r="L47" s="28" t="s">
        <v>181</v>
      </c>
      <c r="N47" s="273" t="s">
        <v>412</v>
      </c>
      <c r="O47" s="55"/>
      <c r="P47" s="279">
        <f>SUM(P45:P46)</f>
        <v>2</v>
      </c>
      <c r="W47" s="24" t="s">
        <v>3</v>
      </c>
      <c r="Y47" s="280">
        <f>SUM(Y41:Y46)</f>
        <v>0</v>
      </c>
      <c r="Z47" s="280">
        <f>SUM(Z41:Z46)</f>
        <v>0</v>
      </c>
      <c r="AE47" s="94" t="s">
        <v>3</v>
      </c>
      <c r="AF47" s="281">
        <f>SUM(AF40:AF45)</f>
        <v>31.8</v>
      </c>
      <c r="AG47" s="46"/>
      <c r="AH47" s="94" t="s">
        <v>3</v>
      </c>
      <c r="AI47" s="281">
        <f>SUM(AI40:AI45)</f>
        <v>137.79999999998941</v>
      </c>
    </row>
    <row r="48" spans="1:46" ht="13.8" thickTop="1">
      <c r="A48" s="39" t="s">
        <v>33</v>
      </c>
      <c r="D48" s="31">
        <f>IF($C$25="Yes",P166,0)</f>
        <v>31.199999999997601</v>
      </c>
      <c r="F48" s="193" t="s">
        <v>8</v>
      </c>
      <c r="K48" s="224">
        <f>IF(F48=$K$2,D48*12,IF(F48=$K$3,D48*52,D48))</f>
        <v>374.39999999997121</v>
      </c>
      <c r="L48" s="182" t="s">
        <v>64</v>
      </c>
      <c r="M48" s="118"/>
      <c r="N48" s="282" t="s">
        <v>409</v>
      </c>
      <c r="O48" s="283"/>
      <c r="P48" s="284">
        <f>D22</f>
        <v>2</v>
      </c>
      <c r="S48" s="25" t="s">
        <v>501</v>
      </c>
      <c r="T48" s="272"/>
    </row>
    <row r="49" spans="1:43">
      <c r="A49" s="39" t="s">
        <v>187</v>
      </c>
      <c r="B49" s="23" t="s">
        <v>139</v>
      </c>
      <c r="C49" s="278" t="str">
        <f>IF(B49="Yes","Complete travel costs","")</f>
        <v/>
      </c>
      <c r="D49" s="456">
        <f>T54</f>
        <v>0</v>
      </c>
      <c r="F49" s="193" t="s">
        <v>8</v>
      </c>
      <c r="K49" s="224">
        <f>IF(F50=$K$2,D49*12,IF(F52=$K$3,D49*52,D49))</f>
        <v>0</v>
      </c>
      <c r="L49" s="28" t="s">
        <v>182</v>
      </c>
      <c r="P49" s="109"/>
      <c r="S49" s="29" t="s">
        <v>500</v>
      </c>
      <c r="T49" s="285">
        <f>IF(B47="Yes",P165,IF(B47="No",0))</f>
        <v>0</v>
      </c>
      <c r="W49" s="82" t="s">
        <v>196</v>
      </c>
      <c r="AE49" s="195" t="s">
        <v>331</v>
      </c>
      <c r="AF49" s="135"/>
      <c r="AG49" s="135"/>
      <c r="AH49" s="135"/>
      <c r="AI49" s="135"/>
      <c r="AJ49" s="138"/>
      <c r="AK49" s="138"/>
      <c r="AL49" s="198"/>
      <c r="AM49" s="198"/>
      <c r="AN49" s="198"/>
      <c r="AO49" s="198"/>
      <c r="AP49" s="198"/>
      <c r="AQ49" s="198"/>
    </row>
    <row r="50" spans="1:43">
      <c r="A50" s="39" t="s">
        <v>523</v>
      </c>
      <c r="D50" s="1">
        <v>0</v>
      </c>
      <c r="F50" s="193" t="s">
        <v>8</v>
      </c>
      <c r="K50" s="224">
        <f>IF(F50=$K$2,D50*12,IF(F49=$K$3,D50*52,D50))</f>
        <v>0</v>
      </c>
      <c r="S50" s="30" t="s">
        <v>187</v>
      </c>
      <c r="T50" s="286">
        <f>IF(B49="Yes",P167,IF(B49="No",0))</f>
        <v>0</v>
      </c>
      <c r="W50" s="479" t="s">
        <v>156</v>
      </c>
      <c r="X50" s="480"/>
      <c r="Y50" s="480"/>
      <c r="Z50" s="481"/>
      <c r="AE50" s="209" t="s">
        <v>14</v>
      </c>
      <c r="AF50" s="46"/>
      <c r="AG50" s="46"/>
      <c r="AH50" s="209" t="s">
        <v>8</v>
      </c>
      <c r="AI50" s="46"/>
      <c r="AJ50" s="118"/>
      <c r="AK50" s="118"/>
    </row>
    <row r="51" spans="1:43">
      <c r="W51" s="598"/>
      <c r="X51" s="599"/>
      <c r="Y51" s="599"/>
      <c r="Z51" s="600"/>
      <c r="AE51" s="94" t="s">
        <v>172</v>
      </c>
      <c r="AF51" s="94"/>
      <c r="AG51" s="94"/>
      <c r="AH51" s="94" t="s">
        <v>172</v>
      </c>
      <c r="AI51" s="94"/>
      <c r="AJ51" s="118"/>
      <c r="AK51" s="118" t="s">
        <v>35</v>
      </c>
    </row>
    <row r="52" spans="1:43">
      <c r="A52" s="24" t="s">
        <v>34</v>
      </c>
      <c r="K52" s="224"/>
      <c r="S52" s="25" t="s">
        <v>502</v>
      </c>
      <c r="T52" s="272"/>
      <c r="W52" s="601"/>
      <c r="X52" s="602"/>
      <c r="Y52" s="602"/>
      <c r="Z52" s="603"/>
      <c r="AE52" s="46" t="s">
        <v>186</v>
      </c>
      <c r="AF52" s="267">
        <v>10.3</v>
      </c>
      <c r="AG52" s="287"/>
      <c r="AH52" s="46" t="s">
        <v>186</v>
      </c>
      <c r="AI52" s="243">
        <f>AF52*4.333333333333</f>
        <v>44.633333333329901</v>
      </c>
      <c r="AJ52" s="118"/>
      <c r="AK52" s="118" t="s">
        <v>35</v>
      </c>
    </row>
    <row r="53" spans="1:43">
      <c r="K53" s="224"/>
      <c r="S53" s="29" t="s">
        <v>500</v>
      </c>
      <c r="T53" s="285">
        <f>IF(T45&gt;0,T45,T49)</f>
        <v>0</v>
      </c>
      <c r="W53" s="601"/>
      <c r="X53" s="602"/>
      <c r="Y53" s="602"/>
      <c r="Z53" s="603"/>
      <c r="AE53" s="46" t="s">
        <v>184</v>
      </c>
      <c r="AF53" s="269">
        <v>2.6</v>
      </c>
      <c r="AG53" s="287"/>
      <c r="AH53" s="46" t="s">
        <v>184</v>
      </c>
      <c r="AI53" s="243">
        <f>AF53*4.333333333333</f>
        <v>11.266666666665801</v>
      </c>
      <c r="AJ53" s="118"/>
      <c r="AK53" s="118"/>
    </row>
    <row r="54" spans="1:43">
      <c r="A54" s="39" t="s">
        <v>497</v>
      </c>
      <c r="D54" s="31">
        <f>IF($C$25="Yes",P172,0)</f>
        <v>376.99999999997101</v>
      </c>
      <c r="F54" s="193" t="s">
        <v>8</v>
      </c>
      <c r="K54" s="224">
        <f t="shared" ref="K54:K61" si="13">IF(F54=$K$2,D54*12,IF(F54=$K$3,D54*52,D54))</f>
        <v>4523.9999999996526</v>
      </c>
      <c r="L54" s="28" t="s">
        <v>531</v>
      </c>
      <c r="S54" s="30" t="s">
        <v>187</v>
      </c>
      <c r="T54" s="286">
        <f>IF(T46&gt;0,T46,T50)</f>
        <v>0</v>
      </c>
      <c r="W54" s="601"/>
      <c r="X54" s="602"/>
      <c r="Y54" s="602"/>
      <c r="Z54" s="603"/>
      <c r="AE54" s="46" t="s">
        <v>173</v>
      </c>
      <c r="AF54" s="269">
        <v>20.399999999999999</v>
      </c>
      <c r="AG54" s="287"/>
      <c r="AH54" s="46" t="s">
        <v>173</v>
      </c>
      <c r="AI54" s="243">
        <f>AF54*4.333333333333</f>
        <v>88.399999999993199</v>
      </c>
      <c r="AJ54" s="118"/>
      <c r="AK54" s="118"/>
    </row>
    <row r="55" spans="1:43">
      <c r="A55" s="39"/>
      <c r="D55" s="82"/>
      <c r="F55" s="82"/>
      <c r="G55" s="176" t="s">
        <v>35</v>
      </c>
      <c r="K55" s="224">
        <f t="shared" si="13"/>
        <v>0</v>
      </c>
      <c r="W55" s="601"/>
      <c r="X55" s="602"/>
      <c r="Y55" s="602"/>
      <c r="Z55" s="603"/>
      <c r="AE55" s="46" t="s">
        <v>185</v>
      </c>
      <c r="AF55" s="269">
        <v>6.5</v>
      </c>
      <c r="AG55" s="287"/>
      <c r="AH55" s="46" t="s">
        <v>185</v>
      </c>
      <c r="AI55" s="243">
        <f>AF55*4.333333333333</f>
        <v>28.166666666664501</v>
      </c>
      <c r="AJ55" s="118"/>
      <c r="AK55" s="118"/>
    </row>
    <row r="56" spans="1:43">
      <c r="A56" s="39" t="s">
        <v>160</v>
      </c>
      <c r="B56" s="6" t="s">
        <v>139</v>
      </c>
      <c r="D56" s="31">
        <f>IF(B56="Yes",P174,0)</f>
        <v>0</v>
      </c>
      <c r="F56" s="193" t="s">
        <v>8</v>
      </c>
      <c r="K56" s="224">
        <f t="shared" si="13"/>
        <v>0</v>
      </c>
      <c r="L56" s="28" t="s">
        <v>165</v>
      </c>
      <c r="W56" s="601"/>
      <c r="X56" s="602"/>
      <c r="Y56" s="602"/>
      <c r="Z56" s="603"/>
      <c r="AE56" s="46" t="s">
        <v>174</v>
      </c>
      <c r="AF56" s="276">
        <v>3</v>
      </c>
      <c r="AG56" s="287"/>
      <c r="AH56" s="46" t="s">
        <v>174</v>
      </c>
      <c r="AI56" s="243">
        <f>AF56*4.333333333333</f>
        <v>12.999999999999</v>
      </c>
      <c r="AJ56" s="118"/>
      <c r="AK56" s="118"/>
    </row>
    <row r="57" spans="1:43">
      <c r="A57" s="39" t="s">
        <v>530</v>
      </c>
      <c r="D57" s="1">
        <v>0</v>
      </c>
      <c r="F57" s="193" t="s">
        <v>8</v>
      </c>
      <c r="K57" s="224">
        <f t="shared" si="13"/>
        <v>0</v>
      </c>
      <c r="W57" s="601"/>
      <c r="X57" s="602"/>
      <c r="Y57" s="602"/>
      <c r="Z57" s="603"/>
      <c r="AC57" s="46" t="s">
        <v>138</v>
      </c>
      <c r="AE57" s="94" t="s">
        <v>3</v>
      </c>
      <c r="AF57" s="281">
        <f>SUM(AF52:AF56)</f>
        <v>42.8</v>
      </c>
      <c r="AG57" s="46" t="s">
        <v>35</v>
      </c>
      <c r="AH57" s="94" t="s">
        <v>3</v>
      </c>
      <c r="AI57" s="223">
        <f>SUM(AI52:AI56)</f>
        <v>185.4666666666524</v>
      </c>
      <c r="AJ57" s="118"/>
      <c r="AK57" s="118"/>
    </row>
    <row r="58" spans="1:43">
      <c r="A58" s="39" t="s">
        <v>520</v>
      </c>
      <c r="D58" s="1">
        <v>0</v>
      </c>
      <c r="F58" s="193" t="s">
        <v>8</v>
      </c>
      <c r="K58" s="224">
        <f t="shared" si="13"/>
        <v>0</v>
      </c>
      <c r="O58" s="182" t="s">
        <v>35</v>
      </c>
      <c r="W58" s="601"/>
      <c r="X58" s="602"/>
      <c r="Y58" s="602"/>
      <c r="Z58" s="603"/>
      <c r="AC58" s="46" t="s">
        <v>139</v>
      </c>
      <c r="AE58" s="46"/>
      <c r="AF58" s="46"/>
      <c r="AG58" s="46"/>
      <c r="AH58" s="46"/>
      <c r="AI58" s="46"/>
      <c r="AJ58" s="118"/>
      <c r="AK58" s="118"/>
    </row>
    <row r="59" spans="1:43">
      <c r="A59" s="39" t="s">
        <v>521</v>
      </c>
      <c r="D59" s="31">
        <f>IF($C$25="Yes",P177,0)</f>
        <v>108.76666666665831</v>
      </c>
      <c r="F59" s="193" t="s">
        <v>8</v>
      </c>
      <c r="K59" s="224">
        <f t="shared" si="13"/>
        <v>1305.1999999998998</v>
      </c>
      <c r="L59" s="28" t="s">
        <v>36</v>
      </c>
      <c r="W59" s="601"/>
      <c r="X59" s="602"/>
      <c r="Y59" s="602"/>
      <c r="Z59" s="603"/>
      <c r="AE59" s="94" t="s">
        <v>175</v>
      </c>
      <c r="AF59" s="94"/>
      <c r="AG59" s="94"/>
      <c r="AH59" s="94" t="s">
        <v>175</v>
      </c>
      <c r="AI59" s="94"/>
      <c r="AJ59" s="118"/>
      <c r="AK59" s="118"/>
    </row>
    <row r="60" spans="1:43">
      <c r="A60" s="39" t="s">
        <v>522</v>
      </c>
      <c r="D60" s="31">
        <f>IF($C$25="Yes",P178,0)</f>
        <v>215.3666666666501</v>
      </c>
      <c r="F60" s="193" t="s">
        <v>8</v>
      </c>
      <c r="K60" s="224">
        <f t="shared" si="13"/>
        <v>2584.3999999998014</v>
      </c>
      <c r="L60" s="28" t="s">
        <v>124</v>
      </c>
      <c r="W60" s="601"/>
      <c r="X60" s="602"/>
      <c r="Y60" s="602"/>
      <c r="Z60" s="603"/>
      <c r="AB60" s="28" t="s">
        <v>35</v>
      </c>
      <c r="AE60" s="46" t="s">
        <v>176</v>
      </c>
      <c r="AF60" s="288">
        <v>4.4000000000000004</v>
      </c>
      <c r="AG60" s="287"/>
      <c r="AH60" s="46"/>
      <c r="AI60" s="243">
        <f>AF60*4.333333333333</f>
        <v>19.066666666665203</v>
      </c>
      <c r="AJ60" s="118"/>
      <c r="AK60" s="118"/>
    </row>
    <row r="61" spans="1:43">
      <c r="A61" s="39" t="s">
        <v>524</v>
      </c>
      <c r="D61" s="1">
        <v>0</v>
      </c>
      <c r="F61" s="193" t="s">
        <v>8</v>
      </c>
      <c r="K61" s="224">
        <f t="shared" si="13"/>
        <v>0</v>
      </c>
      <c r="W61" s="601"/>
      <c r="X61" s="602"/>
      <c r="Y61" s="602"/>
      <c r="Z61" s="603"/>
      <c r="AE61" s="46" t="s">
        <v>177</v>
      </c>
      <c r="AF61" s="289">
        <v>1.4</v>
      </c>
      <c r="AG61" s="287"/>
      <c r="AH61" s="46"/>
      <c r="AI61" s="243">
        <f>AF61*4.333333333333</f>
        <v>6.0666666666661992</v>
      </c>
      <c r="AJ61" s="118"/>
      <c r="AK61" s="118"/>
    </row>
    <row r="62" spans="1:43">
      <c r="A62" s="44"/>
      <c r="K62" s="224"/>
      <c r="M62" s="28" t="s">
        <v>470</v>
      </c>
      <c r="W62" s="604"/>
      <c r="X62" s="605"/>
      <c r="Y62" s="605"/>
      <c r="Z62" s="606"/>
      <c r="AB62" s="290" t="s">
        <v>508</v>
      </c>
      <c r="AC62" s="291">
        <f>AJ70</f>
        <v>7.9399999999999998E-2</v>
      </c>
      <c r="AE62" s="46" t="s">
        <v>178</v>
      </c>
      <c r="AF62" s="289">
        <v>0.9</v>
      </c>
      <c r="AG62" s="287"/>
      <c r="AH62" s="46"/>
      <c r="AI62" s="243">
        <f>AF62*4.333333333333</f>
        <v>3.8999999999997002</v>
      </c>
    </row>
    <row r="63" spans="1:43">
      <c r="A63" s="24" t="s">
        <v>99</v>
      </c>
      <c r="D63" s="292">
        <f>SUM(D45:D61)+SUM(D39:D43)+(D44/12*10)</f>
        <v>1219.3999999999062</v>
      </c>
      <c r="E63" s="82" t="s">
        <v>105</v>
      </c>
      <c r="F63" s="82"/>
      <c r="K63" s="224"/>
      <c r="M63" s="28" t="s">
        <v>159</v>
      </c>
      <c r="U63" s="46"/>
      <c r="AB63" s="290" t="s">
        <v>509</v>
      </c>
      <c r="AC63" s="291">
        <f>P66</f>
        <v>4.6399999999999997E-2</v>
      </c>
      <c r="AE63" s="46" t="s">
        <v>179</v>
      </c>
      <c r="AF63" s="293">
        <v>12.3</v>
      </c>
      <c r="AG63" s="287"/>
      <c r="AH63" s="46"/>
      <c r="AI63" s="243">
        <f>AF63*4.333333333333</f>
        <v>53.299999999995904</v>
      </c>
    </row>
    <row r="64" spans="1:43">
      <c r="A64" s="44"/>
      <c r="D64" s="82"/>
      <c r="F64" s="80" t="s">
        <v>97</v>
      </c>
      <c r="K64" s="224"/>
      <c r="M64" s="28" t="s">
        <v>205</v>
      </c>
      <c r="AE64" s="94" t="s">
        <v>3</v>
      </c>
      <c r="AF64" s="294">
        <f>SUM(AF60:AF63)</f>
        <v>19</v>
      </c>
      <c r="AG64" s="46"/>
      <c r="AH64" s="94" t="s">
        <v>3</v>
      </c>
      <c r="AI64" s="294">
        <f>SUM(AI60:AI63)</f>
        <v>82.333333333327005</v>
      </c>
    </row>
    <row r="65" spans="1:44" ht="13.2" customHeight="1">
      <c r="A65" s="24" t="s">
        <v>100</v>
      </c>
      <c r="D65" s="292">
        <f>D63*12</f>
        <v>14632.799999998875</v>
      </c>
      <c r="E65" s="82" t="s">
        <v>105</v>
      </c>
      <c r="F65" s="295">
        <f>IF(D65=0,0,(D65-P183)/P183)</f>
        <v>-1.2430904567451179E-16</v>
      </c>
      <c r="K65" s="224"/>
      <c r="AB65" s="538" t="s">
        <v>526</v>
      </c>
      <c r="AC65" s="539"/>
    </row>
    <row r="66" spans="1:44">
      <c r="A66" s="296" t="s">
        <v>106</v>
      </c>
      <c r="K66" s="224"/>
      <c r="N66" s="446" t="s">
        <v>461</v>
      </c>
      <c r="O66" s="447"/>
      <c r="P66" s="448">
        <v>4.6399999999999997E-2</v>
      </c>
      <c r="Q66" s="446" t="s">
        <v>28</v>
      </c>
      <c r="R66" s="449">
        <v>45239</v>
      </c>
      <c r="AB66" s="540"/>
      <c r="AC66" s="541"/>
    </row>
    <row r="67" spans="1:44">
      <c r="A67" s="44"/>
      <c r="K67" s="224"/>
      <c r="AB67" s="82"/>
      <c r="AC67" s="82"/>
      <c r="AD67" s="297" t="s">
        <v>467</v>
      </c>
      <c r="AE67" s="100"/>
      <c r="AL67" s="298" t="s">
        <v>580</v>
      </c>
      <c r="AM67" s="299"/>
      <c r="AN67" s="299"/>
      <c r="AO67" s="300"/>
    </row>
    <row r="68" spans="1:44">
      <c r="A68" s="24" t="s">
        <v>471</v>
      </c>
      <c r="C68" s="42" t="s">
        <v>470</v>
      </c>
      <c r="D68" s="301" t="s">
        <v>507</v>
      </c>
      <c r="G68" s="24"/>
      <c r="K68" s="224"/>
      <c r="AB68" s="82" t="s">
        <v>359</v>
      </c>
      <c r="AC68" s="302">
        <v>0</v>
      </c>
      <c r="AD68" s="303" t="e">
        <f>NPER(AC72/12,AC70,-AC68)</f>
        <v>#DIV/0!</v>
      </c>
      <c r="AE68" s="100"/>
      <c r="AF68" s="46"/>
      <c r="AG68" s="46"/>
      <c r="AH68" s="46"/>
      <c r="AI68" s="46"/>
    </row>
    <row r="69" spans="1:44">
      <c r="A69" s="44"/>
      <c r="K69" s="224" t="s">
        <v>505</v>
      </c>
      <c r="L69" s="224" t="s">
        <v>505</v>
      </c>
      <c r="M69" s="224" t="s">
        <v>505</v>
      </c>
      <c r="N69" s="28" t="s">
        <v>506</v>
      </c>
      <c r="O69" s="199" t="s">
        <v>505</v>
      </c>
      <c r="P69" s="28" t="s">
        <v>506</v>
      </c>
      <c r="Q69" s="28" t="s">
        <v>506</v>
      </c>
      <c r="R69" s="28" t="s">
        <v>505</v>
      </c>
      <c r="S69" s="28" t="s">
        <v>505</v>
      </c>
      <c r="T69" s="28" t="s">
        <v>505</v>
      </c>
      <c r="V69" s="592" t="s">
        <v>555</v>
      </c>
      <c r="W69" s="593"/>
      <c r="X69" s="594"/>
      <c r="AA69" s="304" t="s">
        <v>464</v>
      </c>
      <c r="AB69" s="82"/>
      <c r="AC69" s="82"/>
      <c r="AD69" s="305" t="s">
        <v>360</v>
      </c>
      <c r="AE69" s="100"/>
      <c r="AJ69" s="306" t="s">
        <v>464</v>
      </c>
      <c r="AK69" s="100" t="s">
        <v>556</v>
      </c>
      <c r="AL69" s="100"/>
    </row>
    <row r="70" spans="1:44">
      <c r="A70" s="24" t="s">
        <v>525</v>
      </c>
      <c r="B70" s="24"/>
      <c r="C70" s="190"/>
      <c r="D70" s="24"/>
      <c r="E70" s="307"/>
      <c r="F70" s="307"/>
      <c r="G70" s="307"/>
      <c r="I70" s="308"/>
      <c r="J70" s="308"/>
      <c r="K70" s="224"/>
      <c r="M70" s="542" t="s">
        <v>126</v>
      </c>
      <c r="N70" s="542"/>
      <c r="O70" s="542"/>
      <c r="P70" s="100"/>
      <c r="Q70" s="309" t="s">
        <v>127</v>
      </c>
      <c r="R70" s="544" t="s">
        <v>472</v>
      </c>
      <c r="S70" s="544"/>
      <c r="T70" s="310" t="s">
        <v>496</v>
      </c>
      <c r="AA70" s="311">
        <f>AJ70</f>
        <v>7.9399999999999998E-2</v>
      </c>
      <c r="AB70" s="44" t="s">
        <v>469</v>
      </c>
      <c r="AC70" s="312">
        <v>0</v>
      </c>
      <c r="AD70" s="313" t="e">
        <f>ROUND(AD68,0)</f>
        <v>#DIV/0!</v>
      </c>
      <c r="AE70" s="100" t="s">
        <v>466</v>
      </c>
      <c r="AJ70" s="314">
        <v>7.9399999999999998E-2</v>
      </c>
      <c r="AK70" s="315">
        <f>SUM(AJ70)*100</f>
        <v>7.9399999999999995</v>
      </c>
      <c r="AL70" s="100"/>
    </row>
    <row r="71" spans="1:44" ht="27.75" customHeight="1">
      <c r="A71" s="316" t="s">
        <v>125</v>
      </c>
      <c r="B71" s="316" t="s">
        <v>50</v>
      </c>
      <c r="C71" s="317" t="s">
        <v>551</v>
      </c>
      <c r="D71" s="317" t="s">
        <v>552</v>
      </c>
      <c r="E71" s="316" t="s">
        <v>468</v>
      </c>
      <c r="F71" s="318" t="s">
        <v>414</v>
      </c>
      <c r="G71" s="318" t="s">
        <v>130</v>
      </c>
      <c r="H71" s="318" t="s">
        <v>553</v>
      </c>
      <c r="I71" s="316" t="s">
        <v>498</v>
      </c>
      <c r="K71" s="319" t="s">
        <v>129</v>
      </c>
      <c r="L71" s="179" t="s">
        <v>16</v>
      </c>
      <c r="M71" s="320" t="s">
        <v>465</v>
      </c>
      <c r="N71" s="320" t="s">
        <v>463</v>
      </c>
      <c r="O71" s="321" t="s">
        <v>462</v>
      </c>
      <c r="P71" s="320" t="s">
        <v>476</v>
      </c>
      <c r="Q71" s="322" t="s">
        <v>465</v>
      </c>
      <c r="R71" s="323" t="s">
        <v>473</v>
      </c>
      <c r="S71" s="323" t="s">
        <v>474</v>
      </c>
      <c r="T71" s="100"/>
      <c r="U71" s="179" t="s">
        <v>131</v>
      </c>
      <c r="V71" s="324" t="s">
        <v>125</v>
      </c>
      <c r="W71" s="324" t="s">
        <v>127</v>
      </c>
      <c r="X71" s="324" t="s">
        <v>554</v>
      </c>
      <c r="AA71" s="325" t="str">
        <f>"SVR Reversion CMS @ "&amp; (AK70)&amp;"%"</f>
        <v>SVR Reversion CMS @ 7.94%</v>
      </c>
      <c r="AB71" s="82"/>
      <c r="AC71" s="82"/>
      <c r="AF71" s="326" t="s">
        <v>161</v>
      </c>
      <c r="AG71" s="326" t="s">
        <v>162</v>
      </c>
      <c r="AH71" s="326" t="s">
        <v>163</v>
      </c>
      <c r="AI71" s="326" t="s">
        <v>164</v>
      </c>
      <c r="AJ71" s="326" t="s">
        <v>463</v>
      </c>
    </row>
    <row r="72" spans="1:44">
      <c r="A72" s="327" t="s">
        <v>364</v>
      </c>
      <c r="B72" s="32"/>
      <c r="C72" s="5"/>
      <c r="D72" s="5"/>
      <c r="E72" s="2"/>
      <c r="F72" s="33"/>
      <c r="G72" s="5"/>
      <c r="H72" s="328" t="s">
        <v>158</v>
      </c>
      <c r="I72" s="329">
        <f t="shared" ref="I72:I79" si="14">IF(H72=$AE$73,AF72,IF(H72=$AE$72,AG72,IF(H72="",0)))</f>
        <v>0</v>
      </c>
      <c r="K72" s="224">
        <f t="shared" ref="K72:K79" si="15">B72</f>
        <v>0</v>
      </c>
      <c r="L72" s="330">
        <f>C72+(D72/12)</f>
        <v>0</v>
      </c>
      <c r="M72" s="331" t="e">
        <f>PMT(E72/12,(L72)*12,-B72)</f>
        <v>#NUM!</v>
      </c>
      <c r="N72" s="315">
        <f>IF(G72="",0,IF(G72="SVR",0,IF(G72="Term Discount",0,IF(H72="Interest-only",(O72*$AJ$70)/12,IF(H72="Repayment",PMT($AJ$70/12,(L72-G72)*12,-O72))))))</f>
        <v>0</v>
      </c>
      <c r="O72" s="332" t="e">
        <f t="shared" ref="O72:O79" si="16">IF((B72*(1+(E72/12))^(G72*12)-(I72*((((1+(E72/12))^(G72*12))-1)/(E72/12))))&lt;0,0,(B72*(1+(E72/12))^(G72*12)-(I72*((((1+(E72/12))^(G72*12))-1)/(E72/12)))))</f>
        <v>#DIV/0!</v>
      </c>
      <c r="P72" s="332" t="b">
        <f>IF(G72="SVR",0,IF(G72="Term Discount",0,IF(G72=2,O72,IF(G72=3,O72,IF(G72=5,O72)))))</f>
        <v>0</v>
      </c>
      <c r="Q72" s="331" t="e">
        <f t="shared" ref="Q72:Q79" si="17">PMT(W72/12,(L72)*12,-B72)</f>
        <v>#VALUE!</v>
      </c>
      <c r="R72" s="332" t="e">
        <f t="shared" ref="R72:R79" si="18">IF((B72*(1+(E72/12))^($I$86*12)-(I72*((((1+(E72/12))^($I$86*12))-1)/(E72/12))))&lt;0,0,(B72*(1+(E72/12))^($I$86*12)-(I72*((((1+(E72/12))^($I$86*12))-1)/(E72/12)))))</f>
        <v>#DIV/0!</v>
      </c>
      <c r="S72" s="332" t="e">
        <f t="shared" ref="S72:S79" si="19">IF((B72*(1+(E72/12))^($J$86*12)-(I72*((((1+(E72/12))^($J$86*12))-1)/(E72/12))))&lt;0,0,(B72*(1+(E72/12))^($J$86*12)-(I72*((((1+(E72/12))^($J$86*12))-1)/(E72/12)))))</f>
        <v>#DIV/0!</v>
      </c>
      <c r="T72" s="332">
        <f>IF(H72="Repayment",0,IF(H72="Interest-only",B72))</f>
        <v>0</v>
      </c>
      <c r="U72" s="199" t="str">
        <f t="shared" ref="U72:U79" si="20">IF(F72&lt;&gt;"Fixed","No",IF(G72&lt;&gt;5,"No","Yes"))</f>
        <v>No</v>
      </c>
      <c r="V72" s="333" t="s">
        <v>364</v>
      </c>
      <c r="W72" s="334" t="str">
        <f>IF(E72=0,"",IF(E72="","",IF(U72="Yes",E72,IF(E72+1%&gt;$P$66+1%,E72+1%,$P$66+1%))))</f>
        <v/>
      </c>
      <c r="X72" s="335">
        <f t="shared" ref="X72:X79" si="21">IF(H72=$AE$73,AI72,IF(H72=$AE$72,AH72,IF(H72="",0)))</f>
        <v>0</v>
      </c>
      <c r="AA72" s="336">
        <f t="shared" ref="AA72:AA79" si="22">AJ72</f>
        <v>0</v>
      </c>
      <c r="AB72" s="44" t="s">
        <v>468</v>
      </c>
      <c r="AC72" s="337"/>
      <c r="AE72" s="46" t="s">
        <v>158</v>
      </c>
      <c r="AF72" s="338">
        <f>IF(B72=0,0,IF(B72="",0,($B72*$E72)/12))</f>
        <v>0</v>
      </c>
      <c r="AG72" s="338">
        <f>IF(B72="",0,IF(B72=0,0,M72))</f>
        <v>0</v>
      </c>
      <c r="AH72" s="338">
        <f>IF(B72="",0,IF(B72=0,0,Q72))</f>
        <v>0</v>
      </c>
      <c r="AI72" s="338">
        <f t="shared" ref="AI72:AI79" si="23">IF(B72="",0,IF(B72="",0,($B72*$W72)/12))</f>
        <v>0</v>
      </c>
      <c r="AJ72" s="339">
        <f>IF(I72=0,0,IF(G72="SVR","Not applicable",IF(G72="Term Discount","Not applicable",N72)))</f>
        <v>0</v>
      </c>
    </row>
    <row r="73" spans="1:44">
      <c r="A73" s="327" t="s">
        <v>159</v>
      </c>
      <c r="B73" s="32"/>
      <c r="C73" s="5"/>
      <c r="D73" s="5"/>
      <c r="E73" s="2"/>
      <c r="F73" s="33"/>
      <c r="G73" s="5"/>
      <c r="H73" s="80" t="s">
        <v>159</v>
      </c>
      <c r="I73" s="329">
        <f t="shared" si="14"/>
        <v>0</v>
      </c>
      <c r="K73" s="224">
        <f>B73</f>
        <v>0</v>
      </c>
      <c r="L73" s="330">
        <f>C73+(D73/12)</f>
        <v>0</v>
      </c>
      <c r="M73" s="331" t="e">
        <f t="shared" ref="M73:M79" si="24">PMT(E73/12,(L73)*12,-B73)</f>
        <v>#NUM!</v>
      </c>
      <c r="N73" s="315">
        <f t="shared" ref="N73:N77" si="25">IF(G73="",0,IF(G73="SVR",0,IF(G73="Term Discount",0,IF(H73="Interest-only",(O73*$AJ$70)/12,IF(H73="Repayment",PMT($AJ$70/12,(L73-G73)*12,-O73))))))</f>
        <v>0</v>
      </c>
      <c r="O73" s="332" t="e">
        <f t="shared" si="16"/>
        <v>#DIV/0!</v>
      </c>
      <c r="P73" s="332" t="b">
        <f t="shared" ref="P73:P79" si="26">IF(G73="SVR",0,IF(G73="Term Discount",0,IF(G73=2,O73,IF(G73=3,O73,IF(G73=5,O73)))))</f>
        <v>0</v>
      </c>
      <c r="Q73" s="331" t="e">
        <f t="shared" si="17"/>
        <v>#VALUE!</v>
      </c>
      <c r="R73" s="332" t="e">
        <f t="shared" si="18"/>
        <v>#DIV/0!</v>
      </c>
      <c r="S73" s="332" t="e">
        <f t="shared" si="19"/>
        <v>#DIV/0!</v>
      </c>
      <c r="T73" s="332">
        <f t="shared" ref="T73:T79" si="27">IF(H73="Repayment",0,IF(H73="Interest-only",B73))</f>
        <v>0</v>
      </c>
      <c r="U73" s="199" t="str">
        <f t="shared" si="20"/>
        <v>No</v>
      </c>
      <c r="V73" s="333" t="s">
        <v>159</v>
      </c>
      <c r="W73" s="334" t="str">
        <f t="shared" ref="W73:W79" si="28">IF(E73=0,"",IF(E73="","",IF(U73="Yes",E73,IF(E73+1%&gt;$P$66+1%,E73+1%,$P$66+1%))))</f>
        <v/>
      </c>
      <c r="X73" s="335">
        <f t="shared" si="21"/>
        <v>0</v>
      </c>
      <c r="AA73" s="336">
        <f t="shared" si="22"/>
        <v>0</v>
      </c>
      <c r="AB73" s="545" t="str">
        <f>IF(AC72="","",INT(AD70/12)&amp;" years and "&amp;MOD(AD70,12)&amp;" months")</f>
        <v/>
      </c>
      <c r="AC73" s="546"/>
      <c r="AE73" s="46" t="s">
        <v>159</v>
      </c>
      <c r="AF73" s="338">
        <f>IF(B73=0,0,IF(B73="",0,($B73*$E73)/12))</f>
        <v>0</v>
      </c>
      <c r="AG73" s="338">
        <f t="shared" ref="AG73:AG79" si="29">IF(B73="",0,IF(B73=0,0,M73))</f>
        <v>0</v>
      </c>
      <c r="AH73" s="338">
        <f t="shared" ref="AH73:AH79" si="30">IF(B73="",0,IF(B73=0,0,Q73))</f>
        <v>0</v>
      </c>
      <c r="AI73" s="338">
        <f t="shared" si="23"/>
        <v>0</v>
      </c>
      <c r="AJ73" s="339">
        <f t="shared" ref="AJ73:AJ78" si="31">IF(I73=0,0,IF(G73="SVR","Not applicable",IF(G73="Term Discount","Not applicable",N73)))</f>
        <v>0</v>
      </c>
    </row>
    <row r="74" spans="1:44" hidden="1">
      <c r="A74" s="340" t="s">
        <v>478</v>
      </c>
      <c r="B74" s="32"/>
      <c r="C74" s="5"/>
      <c r="D74" s="5"/>
      <c r="E74" s="2"/>
      <c r="F74" s="33"/>
      <c r="G74" s="5"/>
      <c r="H74" s="5"/>
      <c r="I74" s="329">
        <f t="shared" si="14"/>
        <v>0</v>
      </c>
      <c r="K74" s="224">
        <f t="shared" si="15"/>
        <v>0</v>
      </c>
      <c r="L74" s="330">
        <f t="shared" ref="L74:L79" si="32">C74+(D74/12)</f>
        <v>0</v>
      </c>
      <c r="M74" s="331" t="e">
        <f t="shared" si="24"/>
        <v>#NUM!</v>
      </c>
      <c r="N74" s="315">
        <f t="shared" si="25"/>
        <v>0</v>
      </c>
      <c r="O74" s="332" t="e">
        <f t="shared" si="16"/>
        <v>#DIV/0!</v>
      </c>
      <c r="P74" s="332" t="b">
        <f t="shared" si="26"/>
        <v>0</v>
      </c>
      <c r="Q74" s="331" t="e">
        <f t="shared" si="17"/>
        <v>#VALUE!</v>
      </c>
      <c r="R74" s="332" t="e">
        <f t="shared" si="18"/>
        <v>#DIV/0!</v>
      </c>
      <c r="S74" s="332" t="e">
        <f t="shared" si="19"/>
        <v>#DIV/0!</v>
      </c>
      <c r="T74" s="332" t="b">
        <f t="shared" si="27"/>
        <v>0</v>
      </c>
      <c r="U74" s="199" t="str">
        <f t="shared" si="20"/>
        <v>No</v>
      </c>
      <c r="V74" s="341" t="s">
        <v>478</v>
      </c>
      <c r="W74" s="334" t="str">
        <f t="shared" si="28"/>
        <v/>
      </c>
      <c r="X74" s="335">
        <f t="shared" si="21"/>
        <v>0</v>
      </c>
      <c r="AA74" s="336">
        <f t="shared" si="22"/>
        <v>0</v>
      </c>
      <c r="AF74" s="338">
        <f>IF(B74=0,0,IF(B74="",0,($B74*$E74)/12))</f>
        <v>0</v>
      </c>
      <c r="AG74" s="338">
        <f t="shared" si="29"/>
        <v>0</v>
      </c>
      <c r="AH74" s="338">
        <f t="shared" si="30"/>
        <v>0</v>
      </c>
      <c r="AI74" s="338">
        <f t="shared" si="23"/>
        <v>0</v>
      </c>
      <c r="AJ74" s="339">
        <f t="shared" si="31"/>
        <v>0</v>
      </c>
    </row>
    <row r="75" spans="1:44" hidden="1">
      <c r="A75" s="340" t="s">
        <v>479</v>
      </c>
      <c r="B75" s="32"/>
      <c r="C75" s="5"/>
      <c r="D75" s="5"/>
      <c r="E75" s="2"/>
      <c r="F75" s="33"/>
      <c r="G75" s="5"/>
      <c r="H75" s="5"/>
      <c r="I75" s="329">
        <f t="shared" si="14"/>
        <v>0</v>
      </c>
      <c r="K75" s="224">
        <f t="shared" si="15"/>
        <v>0</v>
      </c>
      <c r="L75" s="330">
        <f t="shared" si="32"/>
        <v>0</v>
      </c>
      <c r="M75" s="331" t="e">
        <f t="shared" si="24"/>
        <v>#NUM!</v>
      </c>
      <c r="N75" s="315">
        <f t="shared" si="25"/>
        <v>0</v>
      </c>
      <c r="O75" s="332" t="e">
        <f t="shared" si="16"/>
        <v>#DIV/0!</v>
      </c>
      <c r="P75" s="332" t="b">
        <f t="shared" si="26"/>
        <v>0</v>
      </c>
      <c r="Q75" s="331" t="e">
        <f t="shared" si="17"/>
        <v>#VALUE!</v>
      </c>
      <c r="R75" s="332" t="e">
        <f t="shared" si="18"/>
        <v>#DIV/0!</v>
      </c>
      <c r="S75" s="332" t="e">
        <f t="shared" si="19"/>
        <v>#DIV/0!</v>
      </c>
      <c r="T75" s="332" t="b">
        <f t="shared" si="27"/>
        <v>0</v>
      </c>
      <c r="U75" s="199" t="str">
        <f t="shared" si="20"/>
        <v>No</v>
      </c>
      <c r="V75" s="341" t="s">
        <v>479</v>
      </c>
      <c r="W75" s="334" t="str">
        <f t="shared" si="28"/>
        <v/>
      </c>
      <c r="X75" s="335">
        <f t="shared" si="21"/>
        <v>0</v>
      </c>
      <c r="AA75" s="336">
        <f t="shared" si="22"/>
        <v>0</v>
      </c>
      <c r="AF75" s="338">
        <f t="shared" ref="AF75:AF79" si="33">IF(B75=0,0,IF(B75="",0,($B75*$E75)/12))</f>
        <v>0</v>
      </c>
      <c r="AG75" s="338">
        <f t="shared" si="29"/>
        <v>0</v>
      </c>
      <c r="AH75" s="338">
        <f t="shared" si="30"/>
        <v>0</v>
      </c>
      <c r="AI75" s="338">
        <f t="shared" si="23"/>
        <v>0</v>
      </c>
      <c r="AJ75" s="339">
        <f t="shared" si="31"/>
        <v>0</v>
      </c>
    </row>
    <row r="76" spans="1:44" hidden="1">
      <c r="A76" s="340" t="s">
        <v>480</v>
      </c>
      <c r="B76" s="32"/>
      <c r="C76" s="5"/>
      <c r="D76" s="5"/>
      <c r="E76" s="2"/>
      <c r="F76" s="33"/>
      <c r="G76" s="5"/>
      <c r="H76" s="5"/>
      <c r="I76" s="329">
        <f t="shared" si="14"/>
        <v>0</v>
      </c>
      <c r="K76" s="224">
        <f t="shared" si="15"/>
        <v>0</v>
      </c>
      <c r="L76" s="330">
        <f t="shared" si="32"/>
        <v>0</v>
      </c>
      <c r="M76" s="331" t="e">
        <f t="shared" si="24"/>
        <v>#NUM!</v>
      </c>
      <c r="N76" s="315">
        <f t="shared" si="25"/>
        <v>0</v>
      </c>
      <c r="O76" s="332" t="e">
        <f t="shared" si="16"/>
        <v>#DIV/0!</v>
      </c>
      <c r="P76" s="332" t="b">
        <f t="shared" si="26"/>
        <v>0</v>
      </c>
      <c r="Q76" s="331" t="e">
        <f t="shared" si="17"/>
        <v>#VALUE!</v>
      </c>
      <c r="R76" s="332" t="e">
        <f t="shared" si="18"/>
        <v>#DIV/0!</v>
      </c>
      <c r="S76" s="332" t="e">
        <f t="shared" si="19"/>
        <v>#DIV/0!</v>
      </c>
      <c r="T76" s="332" t="b">
        <f t="shared" si="27"/>
        <v>0</v>
      </c>
      <c r="U76" s="199" t="str">
        <f t="shared" si="20"/>
        <v>No</v>
      </c>
      <c r="V76" s="341" t="s">
        <v>480</v>
      </c>
      <c r="W76" s="334" t="str">
        <f t="shared" si="28"/>
        <v/>
      </c>
      <c r="X76" s="335">
        <f t="shared" si="21"/>
        <v>0</v>
      </c>
      <c r="AA76" s="336">
        <f t="shared" si="22"/>
        <v>0</v>
      </c>
      <c r="AF76" s="338">
        <f t="shared" si="33"/>
        <v>0</v>
      </c>
      <c r="AG76" s="338">
        <f t="shared" si="29"/>
        <v>0</v>
      </c>
      <c r="AH76" s="338">
        <f t="shared" si="30"/>
        <v>0</v>
      </c>
      <c r="AI76" s="338">
        <f t="shared" si="23"/>
        <v>0</v>
      </c>
      <c r="AJ76" s="339">
        <f t="shared" si="31"/>
        <v>0</v>
      </c>
    </row>
    <row r="77" spans="1:44" hidden="1">
      <c r="A77" s="340" t="s">
        <v>481</v>
      </c>
      <c r="B77" s="32"/>
      <c r="C77" s="5"/>
      <c r="D77" s="5"/>
      <c r="E77" s="2"/>
      <c r="F77" s="33"/>
      <c r="G77" s="5"/>
      <c r="H77" s="5"/>
      <c r="I77" s="329">
        <f t="shared" si="14"/>
        <v>0</v>
      </c>
      <c r="K77" s="224">
        <f>B77</f>
        <v>0</v>
      </c>
      <c r="L77" s="330">
        <f>C77+(D77/12)</f>
        <v>0</v>
      </c>
      <c r="M77" s="331" t="e">
        <f t="shared" si="24"/>
        <v>#NUM!</v>
      </c>
      <c r="N77" s="315">
        <f t="shared" si="25"/>
        <v>0</v>
      </c>
      <c r="O77" s="332" t="e">
        <f t="shared" si="16"/>
        <v>#DIV/0!</v>
      </c>
      <c r="P77" s="332" t="b">
        <f t="shared" si="26"/>
        <v>0</v>
      </c>
      <c r="Q77" s="331" t="e">
        <f t="shared" si="17"/>
        <v>#VALUE!</v>
      </c>
      <c r="R77" s="332" t="e">
        <f t="shared" si="18"/>
        <v>#DIV/0!</v>
      </c>
      <c r="S77" s="332" t="e">
        <f t="shared" si="19"/>
        <v>#DIV/0!</v>
      </c>
      <c r="T77" s="332" t="b">
        <f t="shared" si="27"/>
        <v>0</v>
      </c>
      <c r="U77" s="199" t="str">
        <f t="shared" si="20"/>
        <v>No</v>
      </c>
      <c r="V77" s="341" t="s">
        <v>481</v>
      </c>
      <c r="W77" s="334" t="str">
        <f t="shared" si="28"/>
        <v/>
      </c>
      <c r="X77" s="335">
        <f t="shared" si="21"/>
        <v>0</v>
      </c>
      <c r="AA77" s="336">
        <f t="shared" si="22"/>
        <v>0</v>
      </c>
      <c r="AF77" s="338">
        <f t="shared" si="33"/>
        <v>0</v>
      </c>
      <c r="AG77" s="338">
        <f t="shared" si="29"/>
        <v>0</v>
      </c>
      <c r="AH77" s="338">
        <f t="shared" si="30"/>
        <v>0</v>
      </c>
      <c r="AI77" s="338">
        <f t="shared" si="23"/>
        <v>0</v>
      </c>
      <c r="AJ77" s="339">
        <f t="shared" si="31"/>
        <v>0</v>
      </c>
    </row>
    <row r="78" spans="1:44" hidden="1">
      <c r="A78" s="340" t="s">
        <v>482</v>
      </c>
      <c r="B78" s="32"/>
      <c r="C78" s="5"/>
      <c r="D78" s="5"/>
      <c r="E78" s="2"/>
      <c r="F78" s="33"/>
      <c r="G78" s="5"/>
      <c r="H78" s="5"/>
      <c r="I78" s="329">
        <f t="shared" si="14"/>
        <v>0</v>
      </c>
      <c r="K78" s="224">
        <f t="shared" si="15"/>
        <v>0</v>
      </c>
      <c r="L78" s="330">
        <f t="shared" si="32"/>
        <v>0</v>
      </c>
      <c r="M78" s="331" t="e">
        <f t="shared" si="24"/>
        <v>#NUM!</v>
      </c>
      <c r="N78" s="315">
        <f>IF(G78="",0,IF(G78="SVR",0,IF(G78="Term Discount",0,IF(H78="Interest-only",(O78*$AJ$70)/12,IF(H78="Repayment",PMT($AJ$70/12,(L78-G78)*12,-O78))))))</f>
        <v>0</v>
      </c>
      <c r="O78" s="332" t="e">
        <f t="shared" si="16"/>
        <v>#DIV/0!</v>
      </c>
      <c r="P78" s="332" t="b">
        <f t="shared" si="26"/>
        <v>0</v>
      </c>
      <c r="Q78" s="331" t="e">
        <f t="shared" si="17"/>
        <v>#VALUE!</v>
      </c>
      <c r="R78" s="332" t="e">
        <f t="shared" si="18"/>
        <v>#DIV/0!</v>
      </c>
      <c r="S78" s="332" t="e">
        <f t="shared" si="19"/>
        <v>#DIV/0!</v>
      </c>
      <c r="T78" s="332" t="b">
        <f t="shared" si="27"/>
        <v>0</v>
      </c>
      <c r="U78" s="199" t="str">
        <f t="shared" si="20"/>
        <v>No</v>
      </c>
      <c r="V78" s="341" t="s">
        <v>482</v>
      </c>
      <c r="W78" s="334" t="str">
        <f t="shared" si="28"/>
        <v/>
      </c>
      <c r="X78" s="335">
        <f t="shared" si="21"/>
        <v>0</v>
      </c>
      <c r="AA78" s="336">
        <f t="shared" si="22"/>
        <v>0</v>
      </c>
      <c r="AF78" s="338">
        <f t="shared" si="33"/>
        <v>0</v>
      </c>
      <c r="AG78" s="338">
        <f t="shared" si="29"/>
        <v>0</v>
      </c>
      <c r="AH78" s="338">
        <f t="shared" si="30"/>
        <v>0</v>
      </c>
      <c r="AI78" s="338">
        <f t="shared" si="23"/>
        <v>0</v>
      </c>
      <c r="AJ78" s="339">
        <f t="shared" si="31"/>
        <v>0</v>
      </c>
    </row>
    <row r="79" spans="1:44" hidden="1">
      <c r="A79" s="340" t="s">
        <v>483</v>
      </c>
      <c r="B79" s="32"/>
      <c r="C79" s="5"/>
      <c r="D79" s="5"/>
      <c r="E79" s="2"/>
      <c r="F79" s="33"/>
      <c r="G79" s="5"/>
      <c r="H79" s="5"/>
      <c r="I79" s="329">
        <f t="shared" si="14"/>
        <v>0</v>
      </c>
      <c r="K79" s="224">
        <f t="shared" si="15"/>
        <v>0</v>
      </c>
      <c r="L79" s="330">
        <f t="shared" si="32"/>
        <v>0</v>
      </c>
      <c r="M79" s="331" t="e">
        <f t="shared" si="24"/>
        <v>#NUM!</v>
      </c>
      <c r="N79" s="315">
        <f>IF(G79="",0,IF(G79="SVR",0,IF(G79="Term Discount",0,IF(H79="Interest-only",(O79*$AJ$70)/12,IF(H79="Repayment",PMT($AJ$70/12,(L79-G79)*12,-O79))))))</f>
        <v>0</v>
      </c>
      <c r="O79" s="332" t="e">
        <f t="shared" si="16"/>
        <v>#DIV/0!</v>
      </c>
      <c r="P79" s="332" t="b">
        <f t="shared" si="26"/>
        <v>0</v>
      </c>
      <c r="Q79" s="331" t="e">
        <f t="shared" si="17"/>
        <v>#VALUE!</v>
      </c>
      <c r="R79" s="332" t="e">
        <f t="shared" si="18"/>
        <v>#DIV/0!</v>
      </c>
      <c r="S79" s="332" t="e">
        <f t="shared" si="19"/>
        <v>#DIV/0!</v>
      </c>
      <c r="T79" s="332" t="b">
        <f t="shared" si="27"/>
        <v>0</v>
      </c>
      <c r="U79" s="199" t="str">
        <f t="shared" si="20"/>
        <v>No</v>
      </c>
      <c r="V79" s="341" t="s">
        <v>483</v>
      </c>
      <c r="W79" s="334" t="str">
        <f t="shared" si="28"/>
        <v/>
      </c>
      <c r="X79" s="335">
        <f t="shared" si="21"/>
        <v>0</v>
      </c>
      <c r="AA79" s="336">
        <f t="shared" si="22"/>
        <v>0</v>
      </c>
      <c r="AF79" s="338">
        <f t="shared" si="33"/>
        <v>0</v>
      </c>
      <c r="AG79" s="338">
        <f t="shared" si="29"/>
        <v>0</v>
      </c>
      <c r="AH79" s="338">
        <f t="shared" si="30"/>
        <v>0</v>
      </c>
      <c r="AI79" s="338">
        <f t="shared" si="23"/>
        <v>0</v>
      </c>
      <c r="AJ79" s="339">
        <f>IF(I79=0,0,IF(G79="SVR","Not applicable",IF(G79="Term Discount","Not applicable",N79)))</f>
        <v>0</v>
      </c>
      <c r="AR79" s="44"/>
    </row>
    <row r="80" spans="1:44">
      <c r="A80" s="290"/>
      <c r="B80" s="342">
        <f>SUM(B72:B79)</f>
        <v>0</v>
      </c>
      <c r="C80" s="343"/>
      <c r="D80" s="343"/>
      <c r="E80" s="290"/>
      <c r="F80" s="343"/>
      <c r="G80" s="290"/>
      <c r="H80" s="36" t="s">
        <v>3</v>
      </c>
      <c r="I80" s="329">
        <f>SUM(I72:I79)</f>
        <v>0</v>
      </c>
      <c r="K80" s="224"/>
      <c r="V80" s="344"/>
      <c r="W80" s="345" t="s">
        <v>3</v>
      </c>
      <c r="X80" s="335">
        <f>SUM(X72:X79)</f>
        <v>0</v>
      </c>
      <c r="AA80" s="336">
        <f>SUM(AA72:AA79)</f>
        <v>0</v>
      </c>
      <c r="AF80" s="338">
        <f>SUM(AF72:AF79)</f>
        <v>0</v>
      </c>
      <c r="AG80" s="338">
        <f>SUM(AG72:AG79)</f>
        <v>0</v>
      </c>
      <c r="AH80" s="338">
        <f>SUM(AH72:AH79)</f>
        <v>0</v>
      </c>
      <c r="AI80" s="338">
        <f>SUM(AI72:AI79)</f>
        <v>0</v>
      </c>
      <c r="AJ80" s="346">
        <f>SUM(AJ72:AJ79)</f>
        <v>0</v>
      </c>
    </row>
    <row r="81" spans="1:57" ht="13.8" thickBot="1">
      <c r="A81" s="44"/>
      <c r="K81" s="224"/>
      <c r="L81" s="224"/>
      <c r="M81" s="224"/>
      <c r="N81" s="224"/>
      <c r="O81" s="224"/>
      <c r="Q81" s="347" t="s">
        <v>475</v>
      </c>
      <c r="R81" s="348" t="e">
        <f>SUM(R72:R79)</f>
        <v>#DIV/0!</v>
      </c>
      <c r="S81" s="348" t="e">
        <f>SUM(S72:S79)</f>
        <v>#DIV/0!</v>
      </c>
      <c r="T81" s="348">
        <f>SUM(T72:T79)</f>
        <v>0</v>
      </c>
    </row>
    <row r="82" spans="1:57" ht="12.75" customHeight="1" thickTop="1">
      <c r="V82" s="349" t="str">
        <f>IF(T81&gt;0,"This loan includes an Interest only amount of £"&amp; (T81),"")</f>
        <v/>
      </c>
    </row>
    <row r="83" spans="1:57" ht="12.75" customHeight="1">
      <c r="A83" s="24" t="s">
        <v>171</v>
      </c>
      <c r="F83" s="549" t="s">
        <v>495</v>
      </c>
      <c r="G83" s="550"/>
      <c r="H83" s="550"/>
      <c r="I83" s="550"/>
      <c r="J83" s="551"/>
      <c r="O83" s="28" t="s">
        <v>119</v>
      </c>
      <c r="P83" s="28">
        <v>2</v>
      </c>
    </row>
    <row r="84" spans="1:57" ht="15.15" customHeight="1">
      <c r="F84" s="552"/>
      <c r="G84" s="553"/>
      <c r="H84" s="553"/>
      <c r="I84" s="553"/>
      <c r="J84" s="554"/>
      <c r="O84" s="28" t="s">
        <v>120</v>
      </c>
      <c r="P84" s="28">
        <v>3</v>
      </c>
      <c r="AF84" s="350"/>
      <c r="AG84" s="501" t="s">
        <v>528</v>
      </c>
      <c r="AH84" s="501"/>
      <c r="AI84" s="501"/>
      <c r="AJ84" s="501"/>
      <c r="AT84" s="351"/>
      <c r="AU84" s="352"/>
      <c r="AV84" s="353"/>
      <c r="AW84" s="353"/>
      <c r="AX84" s="353"/>
      <c r="AY84" s="353"/>
      <c r="AZ84" s="353"/>
      <c r="BA84" s="353"/>
      <c r="BB84" s="353"/>
      <c r="BC84" s="353"/>
      <c r="BD84" s="353"/>
      <c r="BE84" s="354"/>
    </row>
    <row r="85" spans="1:57">
      <c r="A85" s="82" t="s">
        <v>21</v>
      </c>
      <c r="D85" s="181">
        <f>SUM(K9:K22)</f>
        <v>0</v>
      </c>
      <c r="F85" s="578" t="s">
        <v>335</v>
      </c>
      <c r="G85" s="579"/>
      <c r="H85" s="579"/>
      <c r="I85" s="355" t="s">
        <v>333</v>
      </c>
      <c r="J85" s="355" t="s">
        <v>334</v>
      </c>
      <c r="L85" s="332" t="e">
        <f>IF((B75*(1+(E75/12))^(G75*12)-(I75*((((1+(E75/12))^(G75*12))-1)/(E75/12))))&lt;0,0,(B75*(1+(E75/12))^(G75*12)-(I75*((((1+(E75/12))^(G75*12))-1)/(E75/12)))))</f>
        <v>#DIV/0!</v>
      </c>
      <c r="P85" s="28">
        <v>5</v>
      </c>
      <c r="AB85" s="502" t="s">
        <v>489</v>
      </c>
      <c r="AC85" s="503"/>
      <c r="AD85" s="504"/>
      <c r="AF85" s="350"/>
      <c r="AG85" s="501" t="s">
        <v>529</v>
      </c>
      <c r="AH85" s="501"/>
      <c r="AI85" s="501" t="s">
        <v>527</v>
      </c>
      <c r="AJ85" s="501"/>
      <c r="AT85" s="352"/>
      <c r="AU85" s="352"/>
      <c r="AV85" s="353"/>
      <c r="AW85" s="352"/>
      <c r="AX85" s="352"/>
      <c r="AY85" s="352"/>
      <c r="AZ85" s="352"/>
      <c r="BA85" s="352"/>
      <c r="BB85" s="352"/>
      <c r="BC85" s="352"/>
      <c r="BD85" s="352"/>
    </row>
    <row r="86" spans="1:57">
      <c r="F86" s="579"/>
      <c r="G86" s="579"/>
      <c r="H86" s="579"/>
      <c r="I86" s="555"/>
      <c r="J86" s="555"/>
      <c r="P86" s="28" t="s">
        <v>116</v>
      </c>
      <c r="R86" s="72"/>
      <c r="S86" s="72"/>
      <c r="U86" s="94"/>
      <c r="Z86" s="24"/>
      <c r="AA86" s="94"/>
      <c r="AB86" s="356"/>
      <c r="AC86" s="357" t="s">
        <v>493</v>
      </c>
      <c r="AD86" s="358" t="s">
        <v>494</v>
      </c>
      <c r="AF86" s="350"/>
      <c r="AG86" s="350"/>
      <c r="AH86" s="350"/>
      <c r="AI86" s="357" t="s">
        <v>493</v>
      </c>
      <c r="AJ86" s="357" t="s">
        <v>494</v>
      </c>
      <c r="AT86" s="353"/>
      <c r="AU86" s="352"/>
      <c r="AV86" s="353"/>
      <c r="AW86" s="352"/>
      <c r="AX86" s="352"/>
      <c r="AY86" s="352"/>
      <c r="AZ86" s="352"/>
      <c r="BA86" s="352"/>
      <c r="BB86" s="352"/>
      <c r="BC86" s="352"/>
      <c r="BD86" s="352"/>
    </row>
    <row r="87" spans="1:57">
      <c r="A87" s="82" t="s">
        <v>22</v>
      </c>
      <c r="D87" s="181">
        <f>SUM(K28:K62)</f>
        <v>14632.799999998875</v>
      </c>
      <c r="F87" s="579"/>
      <c r="G87" s="579"/>
      <c r="H87" s="579"/>
      <c r="I87" s="556"/>
      <c r="J87" s="556"/>
      <c r="K87" s="46" t="s">
        <v>488</v>
      </c>
      <c r="N87" s="28" t="s">
        <v>35</v>
      </c>
      <c r="P87" s="28" t="s">
        <v>133</v>
      </c>
      <c r="R87" s="199"/>
      <c r="S87" s="199"/>
      <c r="AB87" s="359" t="s">
        <v>166</v>
      </c>
      <c r="AC87" s="360">
        <f t="shared" ref="AC87:AC94" si="34">IF(B72=0,0,IF($I$86=0,0,IF($I$86&gt;0,IF(H72="Interest-only",AI87,IF(H72="Repayment",R72)))))</f>
        <v>0</v>
      </c>
      <c r="AD87" s="361">
        <f>IF(B72=0,0,IF($J$86=0,0,IF($J$86&gt;0,IF(H72="Interest-only",AJ87,IF(H72="Repayment",S72)))))</f>
        <v>0</v>
      </c>
      <c r="AF87" s="350" t="s">
        <v>166</v>
      </c>
      <c r="AG87" s="360">
        <f t="shared" ref="AG87:AG94" si="35">IF(H72="Interest-only",B72,0)</f>
        <v>0</v>
      </c>
      <c r="AH87" s="360">
        <f t="shared" ref="AH87:AH94" si="36">IF(H72="Interest-only",B72,0)</f>
        <v>0</v>
      </c>
      <c r="AI87" s="360">
        <f t="shared" ref="AI87:AI94" si="37">IF(C72&gt;=$I$86,AG87,0)</f>
        <v>0</v>
      </c>
      <c r="AJ87" s="360">
        <f>IF(C72&gt;=$J$86,AH87,0)</f>
        <v>0</v>
      </c>
      <c r="AT87" s="353"/>
      <c r="AU87" s="352"/>
      <c r="AV87" s="362"/>
      <c r="AW87" s="362"/>
      <c r="AX87" s="362"/>
      <c r="AY87" s="362"/>
      <c r="AZ87" s="362"/>
      <c r="BA87" s="362"/>
      <c r="BB87" s="352"/>
      <c r="BC87" s="352"/>
      <c r="BD87" s="352"/>
    </row>
    <row r="88" spans="1:57" ht="12.75" customHeight="1">
      <c r="F88" s="579"/>
      <c r="G88" s="579"/>
      <c r="H88" s="579"/>
      <c r="I88" s="363" t="s">
        <v>336</v>
      </c>
      <c r="J88" s="363" t="s">
        <v>337</v>
      </c>
      <c r="K88" s="364" t="s">
        <v>206</v>
      </c>
      <c r="L88" s="364" t="s">
        <v>207</v>
      </c>
      <c r="M88" s="591" t="s">
        <v>205</v>
      </c>
      <c r="N88" s="591"/>
      <c r="O88" s="365"/>
      <c r="R88" s="199"/>
      <c r="S88" s="199" t="s">
        <v>366</v>
      </c>
      <c r="V88" s="543" t="s">
        <v>535</v>
      </c>
      <c r="W88" s="543"/>
      <c r="X88" s="543"/>
      <c r="AB88" s="359" t="s">
        <v>487</v>
      </c>
      <c r="AC88" s="360">
        <f t="shared" si="34"/>
        <v>0</v>
      </c>
      <c r="AD88" s="361">
        <f t="shared" ref="AD88:AD94" si="38">IF(B73=0,0,IF($J$86=0,0,IF($J$86&gt;0,IF(H73="Interest-only",AJ88,IF(H73="Repayment",S73)))))</f>
        <v>0</v>
      </c>
      <c r="AF88" s="350" t="s">
        <v>487</v>
      </c>
      <c r="AG88" s="360">
        <f t="shared" si="35"/>
        <v>0</v>
      </c>
      <c r="AH88" s="360">
        <f t="shared" si="36"/>
        <v>0</v>
      </c>
      <c r="AI88" s="360">
        <f t="shared" si="37"/>
        <v>0</v>
      </c>
      <c r="AJ88" s="360">
        <f t="shared" ref="AJ88:AJ94" si="39">IF(C73&gt;=$J$86,AH88,0)</f>
        <v>0</v>
      </c>
      <c r="AN88" s="505" t="s">
        <v>368</v>
      </c>
      <c r="AO88" s="506"/>
      <c r="AP88" s="506"/>
      <c r="AQ88" s="507"/>
      <c r="AT88" s="366"/>
      <c r="AU88" s="352"/>
      <c r="AV88" s="367"/>
      <c r="AW88" s="352"/>
      <c r="AX88" s="352"/>
      <c r="AY88" s="352"/>
      <c r="AZ88" s="352"/>
      <c r="BA88" s="352"/>
      <c r="BB88" s="352"/>
      <c r="BC88" s="352"/>
      <c r="BD88" s="352"/>
    </row>
    <row r="89" spans="1:57" ht="12.75" customHeight="1">
      <c r="A89" s="82" t="s">
        <v>23</v>
      </c>
      <c r="D89" s="181">
        <f>D85-D87</f>
        <v>-14632.799999998875</v>
      </c>
      <c r="F89" s="522" t="s">
        <v>342</v>
      </c>
      <c r="G89" s="522"/>
      <c r="H89" s="522"/>
      <c r="I89" s="561">
        <f>AC95</f>
        <v>0</v>
      </c>
      <c r="J89" s="561">
        <f>AD95</f>
        <v>0</v>
      </c>
      <c r="K89" s="559" t="e">
        <f>IF((B72*(1+(E72/12))^(I86*12)-(I72*((((1+(E72/12))^(I86*12))-1)/(E72/12))))&lt;0,0,(B72*(1+(E72/12))^(I86*12)-(I72*((((1+(E72/12))^(I86*12))-1)/(E72/12)))))</f>
        <v>#DIV/0!</v>
      </c>
      <c r="L89" s="548">
        <f>IF(I86&lt;C73,B73,0)</f>
        <v>0</v>
      </c>
      <c r="M89" s="547" t="e">
        <f>IF(S92=3,K89+L89,0)</f>
        <v>#DIV/0!</v>
      </c>
      <c r="N89" s="547"/>
      <c r="O89" s="557" t="s">
        <v>380</v>
      </c>
      <c r="P89" s="28">
        <v>4.5</v>
      </c>
      <c r="R89" s="201" t="s">
        <v>364</v>
      </c>
      <c r="S89" s="199" t="e">
        <f>IF(K89&gt;0,1,0)</f>
        <v>#DIV/0!</v>
      </c>
      <c r="V89" s="543"/>
      <c r="W89" s="543"/>
      <c r="X89" s="543"/>
      <c r="Z89" s="92"/>
      <c r="AB89" s="356" t="s">
        <v>478</v>
      </c>
      <c r="AC89" s="360">
        <f t="shared" si="34"/>
        <v>0</v>
      </c>
      <c r="AD89" s="361">
        <f t="shared" si="38"/>
        <v>0</v>
      </c>
      <c r="AF89" s="350" t="s">
        <v>478</v>
      </c>
      <c r="AG89" s="360">
        <f t="shared" si="35"/>
        <v>0</v>
      </c>
      <c r="AH89" s="360">
        <f t="shared" si="36"/>
        <v>0</v>
      </c>
      <c r="AI89" s="360">
        <f t="shared" si="37"/>
        <v>0</v>
      </c>
      <c r="AJ89" s="360">
        <f t="shared" si="39"/>
        <v>0</v>
      </c>
      <c r="AN89" s="508"/>
      <c r="AO89" s="509"/>
      <c r="AP89" s="509"/>
      <c r="AQ89" s="510"/>
      <c r="AT89" s="368"/>
      <c r="AU89" s="353"/>
      <c r="BE89" s="369"/>
    </row>
    <row r="90" spans="1:57">
      <c r="F90" s="522"/>
      <c r="G90" s="522"/>
      <c r="H90" s="522"/>
      <c r="I90" s="562"/>
      <c r="J90" s="562"/>
      <c r="K90" s="560"/>
      <c r="L90" s="548"/>
      <c r="M90" s="547"/>
      <c r="N90" s="547"/>
      <c r="O90" s="558"/>
      <c r="P90" s="199"/>
      <c r="Q90" s="199"/>
      <c r="R90" s="201" t="s">
        <v>365</v>
      </c>
      <c r="S90" s="199">
        <f>IF(L89&gt;0,2,0)</f>
        <v>0</v>
      </c>
      <c r="V90" s="543"/>
      <c r="W90" s="543"/>
      <c r="X90" s="543"/>
      <c r="Z90" s="92"/>
      <c r="AB90" s="356" t="s">
        <v>479</v>
      </c>
      <c r="AC90" s="360">
        <f t="shared" si="34"/>
        <v>0</v>
      </c>
      <c r="AD90" s="361">
        <f t="shared" si="38"/>
        <v>0</v>
      </c>
      <c r="AF90" s="350" t="s">
        <v>479</v>
      </c>
      <c r="AG90" s="360">
        <f t="shared" si="35"/>
        <v>0</v>
      </c>
      <c r="AH90" s="360">
        <f t="shared" si="36"/>
        <v>0</v>
      </c>
      <c r="AI90" s="360">
        <f t="shared" si="37"/>
        <v>0</v>
      </c>
      <c r="AJ90" s="360">
        <f t="shared" si="39"/>
        <v>0</v>
      </c>
      <c r="AN90" s="511"/>
      <c r="AO90" s="512"/>
      <c r="AP90" s="512"/>
      <c r="AQ90" s="513"/>
      <c r="AT90" s="368"/>
      <c r="AU90" s="353"/>
      <c r="BE90" s="369"/>
    </row>
    <row r="91" spans="1:57" ht="12.75" customHeight="1">
      <c r="F91" s="522" t="s">
        <v>341</v>
      </c>
      <c r="G91" s="522"/>
      <c r="H91" s="522"/>
      <c r="I91" s="568">
        <v>0</v>
      </c>
      <c r="J91" s="568">
        <v>0</v>
      </c>
      <c r="K91" s="609" t="e">
        <f>IF((B72*(1+(E72/12))^(J86*12)-(I72*((((1+(E72/12))^(J86*12))-1)/(E72/12))))&lt;0,0,(B72*(1+(E72/12))^(J86*12)-(I72*((((1+(E72/12))^(J86*12))-1)/(E72/12)))))</f>
        <v>#DIV/0!</v>
      </c>
      <c r="L91" s="548">
        <f>IF(J86&lt;C73,B73,0)</f>
        <v>0</v>
      </c>
      <c r="M91" s="547" t="e">
        <f>IF(S92=3,K91+L91,0)</f>
        <v>#DIV/0!</v>
      </c>
      <c r="N91" s="547"/>
      <c r="O91" s="563" t="s">
        <v>381</v>
      </c>
      <c r="P91" s="28">
        <v>3.5</v>
      </c>
      <c r="Q91" s="199"/>
      <c r="R91" s="201" t="s">
        <v>205</v>
      </c>
      <c r="S91" s="199" t="e">
        <f>IF(S89+S90=3,3,0)</f>
        <v>#DIV/0!</v>
      </c>
      <c r="V91" s="543"/>
      <c r="W91" s="543"/>
      <c r="X91" s="543"/>
      <c r="AB91" s="356" t="s">
        <v>480</v>
      </c>
      <c r="AC91" s="360">
        <f t="shared" si="34"/>
        <v>0</v>
      </c>
      <c r="AD91" s="361">
        <f t="shared" si="38"/>
        <v>0</v>
      </c>
      <c r="AF91" s="350" t="s">
        <v>480</v>
      </c>
      <c r="AG91" s="360">
        <f t="shared" si="35"/>
        <v>0</v>
      </c>
      <c r="AH91" s="360">
        <f t="shared" si="36"/>
        <v>0</v>
      </c>
      <c r="AI91" s="360">
        <f t="shared" si="37"/>
        <v>0</v>
      </c>
      <c r="AJ91" s="360">
        <f t="shared" si="39"/>
        <v>0</v>
      </c>
    </row>
    <row r="92" spans="1:57">
      <c r="A92" s="24" t="s">
        <v>169</v>
      </c>
      <c r="F92" s="522"/>
      <c r="G92" s="522"/>
      <c r="H92" s="522"/>
      <c r="I92" s="569"/>
      <c r="J92" s="569"/>
      <c r="K92" s="609"/>
      <c r="L92" s="548"/>
      <c r="M92" s="547"/>
      <c r="N92" s="547"/>
      <c r="O92" s="564"/>
      <c r="P92" s="199"/>
      <c r="Q92" s="199"/>
      <c r="R92" s="201" t="s">
        <v>349</v>
      </c>
      <c r="S92" s="199" t="e">
        <f>MAX(S89:S91)</f>
        <v>#DIV/0!</v>
      </c>
      <c r="T92" s="28" t="e">
        <f>IF(S92=1,R89,IF(S92=2,R90,IF(S92=3,R91)))</f>
        <v>#DIV/0!</v>
      </c>
      <c r="V92" s="543"/>
      <c r="W92" s="543"/>
      <c r="X92" s="543"/>
      <c r="AB92" s="356" t="s">
        <v>481</v>
      </c>
      <c r="AC92" s="360">
        <f t="shared" si="34"/>
        <v>0</v>
      </c>
      <c r="AD92" s="361">
        <f t="shared" si="38"/>
        <v>0</v>
      </c>
      <c r="AF92" s="350" t="s">
        <v>481</v>
      </c>
      <c r="AG92" s="360">
        <f t="shared" si="35"/>
        <v>0</v>
      </c>
      <c r="AH92" s="360">
        <f t="shared" si="36"/>
        <v>0</v>
      </c>
      <c r="AI92" s="360">
        <f t="shared" si="37"/>
        <v>0</v>
      </c>
      <c r="AJ92" s="360">
        <f t="shared" si="39"/>
        <v>0</v>
      </c>
    </row>
    <row r="93" spans="1:57" ht="12.75" customHeight="1">
      <c r="F93" s="522" t="s">
        <v>339</v>
      </c>
      <c r="G93" s="522"/>
      <c r="H93" s="522"/>
      <c r="I93" s="536" t="e">
        <f>IF(I91="","",I89/I91)</f>
        <v>#DIV/0!</v>
      </c>
      <c r="J93" s="536" t="e">
        <f>IF(J91="","",J89/J91)</f>
        <v>#DIV/0!</v>
      </c>
      <c r="K93" s="370"/>
      <c r="L93" s="199"/>
      <c r="M93" s="45" t="s">
        <v>35</v>
      </c>
      <c r="N93" s="199"/>
      <c r="O93" s="199"/>
      <c r="P93" s="199"/>
      <c r="Q93" s="199"/>
      <c r="R93" s="199"/>
      <c r="S93" s="199"/>
      <c r="AB93" s="356" t="s">
        <v>482</v>
      </c>
      <c r="AC93" s="360">
        <f t="shared" si="34"/>
        <v>0</v>
      </c>
      <c r="AD93" s="361">
        <f t="shared" si="38"/>
        <v>0</v>
      </c>
      <c r="AF93" s="350" t="s">
        <v>482</v>
      </c>
      <c r="AG93" s="360">
        <f t="shared" si="35"/>
        <v>0</v>
      </c>
      <c r="AH93" s="360">
        <f t="shared" si="36"/>
        <v>0</v>
      </c>
      <c r="AI93" s="360">
        <f t="shared" si="37"/>
        <v>0</v>
      </c>
      <c r="AJ93" s="360">
        <f>IF(C78&gt;=$J$86,AH93,0)</f>
        <v>0</v>
      </c>
      <c r="AV93" s="371"/>
      <c r="AW93" s="371"/>
      <c r="AX93" s="371"/>
      <c r="AY93" s="371"/>
      <c r="AZ93" s="371"/>
      <c r="BA93" s="371"/>
      <c r="BB93" s="371"/>
    </row>
    <row r="94" spans="1:57">
      <c r="A94" s="82" t="s">
        <v>24</v>
      </c>
      <c r="D94" s="181">
        <f>D89/12</f>
        <v>-1219.3999999999062</v>
      </c>
      <c r="F94" s="522"/>
      <c r="G94" s="522"/>
      <c r="H94" s="522"/>
      <c r="I94" s="537"/>
      <c r="J94" s="537"/>
      <c r="K94" s="372"/>
      <c r="L94" s="94"/>
      <c r="M94" s="94"/>
      <c r="N94" s="94"/>
      <c r="O94" s="94"/>
      <c r="P94" s="94"/>
      <c r="Q94" s="94"/>
      <c r="R94" s="94"/>
      <c r="S94" s="94"/>
      <c r="U94" s="373"/>
      <c r="AB94" s="356" t="s">
        <v>483</v>
      </c>
      <c r="AC94" s="360">
        <f t="shared" si="34"/>
        <v>0</v>
      </c>
      <c r="AD94" s="361">
        <f t="shared" si="38"/>
        <v>0</v>
      </c>
      <c r="AF94" s="350" t="s">
        <v>483</v>
      </c>
      <c r="AG94" s="360">
        <f t="shared" si="35"/>
        <v>0</v>
      </c>
      <c r="AH94" s="360">
        <f t="shared" si="36"/>
        <v>0</v>
      </c>
      <c r="AI94" s="360">
        <f t="shared" si="37"/>
        <v>0</v>
      </c>
      <c r="AJ94" s="360">
        <f t="shared" si="39"/>
        <v>0</v>
      </c>
      <c r="AV94" s="371"/>
      <c r="AW94" s="371"/>
      <c r="AX94" s="371"/>
      <c r="AY94" s="371"/>
      <c r="AZ94" s="371"/>
      <c r="BA94" s="371"/>
      <c r="BB94" s="371"/>
    </row>
    <row r="95" spans="1:57" ht="12.75" customHeight="1">
      <c r="F95" s="529" t="s">
        <v>348</v>
      </c>
      <c r="G95" s="530"/>
      <c r="H95" s="531"/>
      <c r="I95" s="535" t="str">
        <f>C68</f>
        <v>Capital Repayment</v>
      </c>
      <c r="J95" s="535" t="str">
        <f>C68</f>
        <v>Capital Repayment</v>
      </c>
      <c r="K95" s="372"/>
      <c r="L95" s="372"/>
      <c r="M95" s="372"/>
      <c r="N95" s="372"/>
      <c r="O95" s="372"/>
      <c r="P95" s="372"/>
      <c r="Q95" s="372"/>
      <c r="R95" s="372"/>
      <c r="S95" s="372"/>
      <c r="T95" s="372"/>
      <c r="U95" s="372"/>
      <c r="AB95" s="374"/>
      <c r="AC95" s="375">
        <f>SUM(AC87:AC94)</f>
        <v>0</v>
      </c>
      <c r="AD95" s="376">
        <f>SUM(AD87:AD94)</f>
        <v>0</v>
      </c>
    </row>
    <row r="96" spans="1:57">
      <c r="A96" s="82" t="s">
        <v>132</v>
      </c>
      <c r="D96" s="192">
        <f>I72+I73</f>
        <v>0</v>
      </c>
      <c r="F96" s="532"/>
      <c r="G96" s="533"/>
      <c r="H96" s="534"/>
      <c r="I96" s="535"/>
      <c r="J96" s="535"/>
      <c r="K96" s="372"/>
      <c r="L96" s="372"/>
      <c r="M96" s="372"/>
      <c r="N96" s="372"/>
      <c r="O96" s="372"/>
      <c r="P96" s="372"/>
      <c r="Q96" s="372"/>
      <c r="R96" s="372"/>
      <c r="S96" s="372"/>
      <c r="T96" s="372"/>
      <c r="U96" s="372"/>
      <c r="AB96" s="82"/>
      <c r="AC96" s="82"/>
      <c r="AD96" s="82"/>
      <c r="AU96" s="82" t="s">
        <v>35</v>
      </c>
    </row>
    <row r="97" spans="1:52" ht="26.25" customHeight="1">
      <c r="A97" s="44" t="s">
        <v>128</v>
      </c>
      <c r="D97" s="377">
        <f>I80-D96</f>
        <v>0</v>
      </c>
      <c r="F97" s="526" t="s">
        <v>340</v>
      </c>
      <c r="G97" s="527"/>
      <c r="H97" s="528"/>
      <c r="I97" s="378" t="e">
        <f>IF(I93&gt;P89,"FAIL",IF(I93&lt;=P89,"PASS"))</f>
        <v>#DIV/0!</v>
      </c>
      <c r="J97" s="378" t="e">
        <f>IF(J93&gt;P91,"FAIL",IF(J93&lt;=P91,"PASS"))</f>
        <v>#DIV/0!</v>
      </c>
      <c r="K97" s="379" t="s">
        <v>211</v>
      </c>
      <c r="L97" s="380"/>
      <c r="M97" s="381"/>
      <c r="N97" s="381"/>
      <c r="O97" s="381"/>
      <c r="P97" s="381"/>
      <c r="Q97" s="381"/>
      <c r="R97" s="381"/>
      <c r="S97" s="381"/>
      <c r="T97" s="380" t="s">
        <v>35</v>
      </c>
      <c r="U97" s="382"/>
      <c r="V97" s="383"/>
      <c r="AB97" s="523" t="s">
        <v>504</v>
      </c>
      <c r="AC97" s="524"/>
      <c r="AD97" s="525"/>
    </row>
    <row r="98" spans="1:52" ht="12.75" customHeight="1">
      <c r="F98" s="522" t="s">
        <v>338</v>
      </c>
      <c r="G98" s="522"/>
      <c r="H98" s="522"/>
      <c r="I98" s="522"/>
      <c r="J98" s="522"/>
      <c r="K98" s="384"/>
      <c r="M98" s="45" t="s">
        <v>150</v>
      </c>
      <c r="N98" s="45" t="s">
        <v>151</v>
      </c>
      <c r="O98" s="45" t="s">
        <v>152</v>
      </c>
      <c r="P98" s="46" t="s">
        <v>150</v>
      </c>
      <c r="Q98" s="46" t="s">
        <v>151</v>
      </c>
      <c r="R98" s="46" t="s">
        <v>152</v>
      </c>
      <c r="U98" s="385"/>
      <c r="AG98" s="386" t="s">
        <v>484</v>
      </c>
      <c r="AH98" s="387"/>
      <c r="AI98" s="24"/>
    </row>
    <row r="99" spans="1:52" ht="12.75" customHeight="1">
      <c r="F99" s="522"/>
      <c r="G99" s="522"/>
      <c r="H99" s="522"/>
      <c r="I99" s="522"/>
      <c r="J99" s="522"/>
      <c r="K99" s="388">
        <f>IF(Q25=2,1,0)</f>
        <v>0</v>
      </c>
      <c r="L99" s="46" t="s">
        <v>148</v>
      </c>
      <c r="M99" s="45">
        <f>IF($K99=0,0,IF($D$100&lt;$P$99,1,0))</f>
        <v>0</v>
      </c>
      <c r="O99" s="45">
        <f>IF(K99=0,0,IF(M99=0,1,0))</f>
        <v>0</v>
      </c>
      <c r="P99" s="389">
        <v>0.2</v>
      </c>
      <c r="Q99" s="199"/>
      <c r="R99" s="45"/>
      <c r="S99" s="46" t="s">
        <v>212</v>
      </c>
      <c r="U99" s="385"/>
      <c r="AG99" s="82"/>
      <c r="AH99" s="82"/>
      <c r="AI99" s="82"/>
    </row>
    <row r="100" spans="1:52">
      <c r="A100" s="44" t="s">
        <v>202</v>
      </c>
      <c r="D100" s="390">
        <f>IF(D89&lt;0,0,(R105/(D89/12)))</f>
        <v>0</v>
      </c>
      <c r="F100" s="516"/>
      <c r="G100" s="517"/>
      <c r="H100" s="517"/>
      <c r="I100" s="517"/>
      <c r="J100" s="518"/>
      <c r="K100" s="388">
        <f>IF(K99=0,1,0)</f>
        <v>1</v>
      </c>
      <c r="L100" s="46" t="s">
        <v>149</v>
      </c>
      <c r="M100" s="45">
        <f>IF(K100=0,0,IF(D100&lt;=0%,1,0))</f>
        <v>1</v>
      </c>
      <c r="N100" s="391">
        <f>K100-O100-M100</f>
        <v>0</v>
      </c>
      <c r="O100" s="45">
        <f>IF(K100=0,0,IF(D100&gt;=10%,1,0))</f>
        <v>0</v>
      </c>
      <c r="P100" s="45">
        <v>0</v>
      </c>
      <c r="Q100" s="389">
        <v>0.1</v>
      </c>
      <c r="R100" s="45"/>
      <c r="S100" s="193" t="str">
        <f>IF(M101=1,R140,IF(N101=1,R139,IF(O101=1,R138)))</f>
        <v>DECLINE</v>
      </c>
      <c r="U100" s="385"/>
      <c r="AG100" s="82"/>
      <c r="AH100" s="80" t="s">
        <v>485</v>
      </c>
      <c r="AI100" s="80" t="s">
        <v>486</v>
      </c>
      <c r="AZ100" s="82" t="s">
        <v>35</v>
      </c>
    </row>
    <row r="101" spans="1:52">
      <c r="F101" s="519"/>
      <c r="G101" s="520"/>
      <c r="H101" s="520"/>
      <c r="I101" s="520"/>
      <c r="J101" s="521"/>
      <c r="K101" s="384"/>
      <c r="M101" s="199">
        <f>SUM(M99:M100)</f>
        <v>1</v>
      </c>
      <c r="N101" s="199">
        <f>SUM(N99:N100)</f>
        <v>0</v>
      </c>
      <c r="O101" s="199">
        <f>SUM(O99:O100)</f>
        <v>0</v>
      </c>
      <c r="P101" s="199"/>
      <c r="Q101" s="199"/>
      <c r="R101" s="199"/>
      <c r="S101" s="28" t="s">
        <v>210</v>
      </c>
      <c r="U101" s="385"/>
      <c r="AG101" s="82"/>
      <c r="AH101" s="80" t="s">
        <v>477</v>
      </c>
      <c r="AI101" s="80" t="s">
        <v>477</v>
      </c>
    </row>
    <row r="102" spans="1:52">
      <c r="K102" s="392"/>
      <c r="L102" s="393"/>
      <c r="M102" s="393"/>
      <c r="N102" s="393"/>
      <c r="O102" s="393"/>
      <c r="P102" s="393"/>
      <c r="Q102" s="393"/>
      <c r="R102" s="393"/>
      <c r="S102" s="393"/>
      <c r="T102" s="393"/>
      <c r="U102" s="394"/>
      <c r="AG102" s="82"/>
      <c r="AH102" s="193">
        <f>I86</f>
        <v>0</v>
      </c>
      <c r="AI102" s="193">
        <f>J86</f>
        <v>0</v>
      </c>
    </row>
    <row r="103" spans="1:52">
      <c r="A103" s="24" t="s">
        <v>167</v>
      </c>
      <c r="B103" s="44"/>
      <c r="C103" s="44"/>
      <c r="D103" s="140"/>
      <c r="E103" s="44"/>
      <c r="F103" s="58"/>
      <c r="G103" s="58"/>
      <c r="H103" s="24" t="s">
        <v>170</v>
      </c>
      <c r="I103" s="44"/>
      <c r="J103" s="44"/>
      <c r="K103" s="395"/>
      <c r="L103" s="46"/>
      <c r="M103" s="46"/>
      <c r="N103" s="46"/>
      <c r="O103" s="46"/>
      <c r="P103" s="46"/>
      <c r="Q103" s="46"/>
      <c r="R103" s="46"/>
      <c r="S103" s="46"/>
      <c r="T103" s="46"/>
      <c r="U103" s="46"/>
      <c r="V103" s="44"/>
      <c r="AG103" s="226" t="s">
        <v>487</v>
      </c>
      <c r="AH103" s="396">
        <f>IF(AG103=AB87,AC87,IF(AG103=AB88,AC88,IF(AG103=AB89,AC89,IF(AG103=AB90,AC90,IF(AG103=AB91,AC91,IF(AG103=AB92,AC92,IF(AG103=AB93,AC93,IF(AG103=AB94,AC94))))))))</f>
        <v>0</v>
      </c>
      <c r="AI103" s="396">
        <f>IF(AG103=AB87,AD87,IF(AG103=AB88,AD88,IF(AG103=AB89,AD89,IF(AG103=AB90,AD90,IF(AG103=AB91,AD91,IF(AG103=AB92,AD92,IF(AG103=AB93,AD93,IF(AG103=AB94,AD94))))))))</f>
        <v>0</v>
      </c>
    </row>
    <row r="104" spans="1:52">
      <c r="A104" s="44"/>
      <c r="B104" s="44"/>
      <c r="C104" s="44"/>
      <c r="D104" s="140"/>
      <c r="E104" s="44"/>
      <c r="F104" s="58"/>
      <c r="G104" s="58"/>
      <c r="H104" s="58"/>
      <c r="I104" s="44"/>
      <c r="J104" s="44"/>
      <c r="K104" s="395"/>
      <c r="L104" s="46"/>
      <c r="M104" s="46"/>
      <c r="N104" s="46"/>
      <c r="O104" s="397" t="s">
        <v>347</v>
      </c>
      <c r="P104" s="380"/>
      <c r="Q104" s="380"/>
      <c r="R104" s="380"/>
      <c r="S104" s="380"/>
      <c r="T104" s="398"/>
      <c r="U104" s="46"/>
      <c r="V104" s="44"/>
      <c r="AG104" s="82"/>
      <c r="AH104" s="82"/>
      <c r="AI104" s="82"/>
    </row>
    <row r="105" spans="1:52">
      <c r="A105" s="44" t="e">
        <f>IF(W72&lt;&gt;"","If the interest rate was "&amp;FIXED((W72*100),2)&amp;"%, monthly repayments on this loan would be approximately £"&amp;ROUND(AH72+AH73,2),"If the interest rate was "&amp;FIXED((W73*100),2)&amp;"%, monthly repayments on this loan would be approximately £"&amp;ROUND(AH72+AH73,2))</f>
        <v>#VALUE!</v>
      </c>
      <c r="B105" s="44"/>
      <c r="C105" s="44"/>
      <c r="D105" s="140"/>
      <c r="E105" s="44"/>
      <c r="F105" s="58"/>
      <c r="G105" s="58"/>
      <c r="H105" s="44" t="e">
        <f>IF(W72&lt;&gt;"","If the interest rate was "&amp;FIXED((W72*100),2)&amp;"%, monthly repayments on this loan would be approximately £"&amp;ROUND(AE105,2),"If the interest rate was "&amp;FIXED((W73*100),2)&amp;"%, monthly repayments on this loan would be approximately £"&amp;ROUND(AE105,2))</f>
        <v>#VALUE!</v>
      </c>
      <c r="I105" s="44"/>
      <c r="J105" s="44"/>
      <c r="K105" s="395"/>
      <c r="L105" s="46"/>
      <c r="M105" s="46"/>
      <c r="N105" s="46"/>
      <c r="O105" s="399" t="s">
        <v>25</v>
      </c>
      <c r="P105" s="400"/>
      <c r="Q105" s="400"/>
      <c r="R105" s="401">
        <f>D94-D96-D97</f>
        <v>-1219.3999999999062</v>
      </c>
      <c r="S105" s="402"/>
      <c r="T105" s="403"/>
      <c r="U105" s="46"/>
      <c r="AE105" s="404">
        <f>X72+X73</f>
        <v>0</v>
      </c>
    </row>
    <row r="106" spans="1:52">
      <c r="A106" s="44" t="str">
        <f>"The stressed monthly repayment on the total borrowing would be £"&amp;ROUND(AH80,2)</f>
        <v>The stressed monthly repayment on the total borrowing would be £0</v>
      </c>
      <c r="B106" s="44"/>
      <c r="C106" s="44"/>
      <c r="D106" s="140"/>
      <c r="E106" s="44"/>
      <c r="F106" s="58"/>
      <c r="G106" s="58"/>
      <c r="H106" s="44" t="str">
        <f>"The stressed monthly repayment on the total borrowing would be £"&amp;ROUND(AE106,2)</f>
        <v>The stressed monthly repayment on the total borrowing would be £0</v>
      </c>
      <c r="I106" s="44"/>
      <c r="J106" s="44"/>
      <c r="K106" s="395"/>
      <c r="L106" s="46"/>
      <c r="M106" s="46"/>
      <c r="N106" s="46"/>
      <c r="O106" s="46"/>
      <c r="P106" s="46"/>
      <c r="Q106" s="46"/>
      <c r="R106" s="46"/>
      <c r="S106" s="46"/>
      <c r="T106" s="46"/>
      <c r="U106" s="46"/>
      <c r="AE106" s="404">
        <f>X80</f>
        <v>0</v>
      </c>
    </row>
    <row r="107" spans="1:52">
      <c r="A107" s="44" t="s">
        <v>26</v>
      </c>
      <c r="B107" s="44"/>
      <c r="C107" s="44"/>
      <c r="D107" s="390">
        <f>IF($D$89&lt;0,0,($D$94-AH80)/($D$89/12))</f>
        <v>0</v>
      </c>
      <c r="E107" s="80" t="str">
        <f>IF(O113=1,R140,IF(P113=1,R139,IF(Q113=1,R138)))</f>
        <v>DECLINE</v>
      </c>
      <c r="F107" s="58"/>
      <c r="G107" s="58"/>
      <c r="H107" s="44" t="s">
        <v>157</v>
      </c>
      <c r="I107" s="44"/>
      <c r="J107" s="44"/>
      <c r="K107" s="395"/>
      <c r="L107" s="46"/>
      <c r="M107" s="46"/>
      <c r="N107" s="46"/>
      <c r="O107" s="46"/>
      <c r="P107" s="46"/>
      <c r="Q107" s="46"/>
      <c r="R107" s="46"/>
      <c r="S107" s="46"/>
      <c r="T107" s="46"/>
      <c r="U107" s="46"/>
      <c r="V107" s="390">
        <f>IF($D$89&lt;0,0,($D$94-X80)/($D$89/12))</f>
        <v>0</v>
      </c>
      <c r="W107" s="193" t="str">
        <f>IF(O120=1,R140,IF(P120=1,R139,IF(Q120=1,R138)))</f>
        <v>DECLINE</v>
      </c>
    </row>
    <row r="108" spans="1:52">
      <c r="K108" s="224"/>
    </row>
    <row r="109" spans="1:52">
      <c r="C109" s="110" t="str">
        <f>IF(Q28=N37,O37,IF(Q28=N36,O36))</f>
        <v>*Percentage Free income assessed to 10% tolerance</v>
      </c>
      <c r="G109" s="58" t="s">
        <v>35</v>
      </c>
      <c r="K109" s="182"/>
      <c r="M109" s="270" t="s">
        <v>329</v>
      </c>
      <c r="N109" s="51"/>
      <c r="O109" s="51"/>
      <c r="P109" s="271"/>
      <c r="Q109" s="271"/>
      <c r="R109" s="271"/>
      <c r="S109" s="271"/>
      <c r="T109" s="271"/>
      <c r="U109" s="261"/>
    </row>
    <row r="110" spans="1:52" ht="12.75" customHeight="1" thickBot="1">
      <c r="K110" s="182"/>
      <c r="L110" s="46" t="s">
        <v>378</v>
      </c>
      <c r="M110" s="405"/>
      <c r="N110" s="55"/>
      <c r="O110" s="406" t="s">
        <v>150</v>
      </c>
      <c r="P110" s="406" t="s">
        <v>151</v>
      </c>
      <c r="Q110" s="406" t="s">
        <v>152</v>
      </c>
      <c r="R110" s="406" t="s">
        <v>150</v>
      </c>
      <c r="S110" s="406" t="s">
        <v>151</v>
      </c>
      <c r="T110" s="406" t="s">
        <v>152</v>
      </c>
      <c r="U110" s="407"/>
    </row>
    <row r="111" spans="1:52" ht="15.15" customHeight="1" thickBot="1">
      <c r="A111" s="24" t="s">
        <v>168</v>
      </c>
      <c r="D111" s="408">
        <f>IF(D89&lt;=0,0,B80/(Income!O21+Income!Q21-SUM(Affordability!K28:K36)+SUM(Income!J64:K70)-SUM(Income!J54:K55)+SUM(Income!J48:K50)))</f>
        <v>0</v>
      </c>
      <c r="E111" s="193" t="str">
        <f>Q134</f>
        <v>PASS</v>
      </c>
      <c r="F111" s="217" t="s">
        <v>105</v>
      </c>
      <c r="G111" s="514" t="s">
        <v>367</v>
      </c>
      <c r="H111" s="515"/>
      <c r="I111" s="409">
        <f>O130</f>
        <v>4.5</v>
      </c>
      <c r="J111" s="410"/>
      <c r="K111" s="182"/>
      <c r="L111" s="46" t="s">
        <v>376</v>
      </c>
      <c r="M111" s="411">
        <f>IF(Q28=2,1,0)</f>
        <v>0</v>
      </c>
      <c r="N111" s="63" t="s">
        <v>148</v>
      </c>
      <c r="O111" s="406">
        <f>IF(M111=0,0,IF(D107&lt;=0%,1,0))</f>
        <v>0</v>
      </c>
      <c r="P111" s="412">
        <f>M111-Q111-O111</f>
        <v>0</v>
      </c>
      <c r="Q111" s="406">
        <f>IF(M111=0,0,IF(D107&gt;=20%,1,0))</f>
        <v>0</v>
      </c>
      <c r="R111" s="55"/>
      <c r="S111" s="413">
        <v>0.2</v>
      </c>
      <c r="T111" s="406"/>
      <c r="U111" s="407"/>
    </row>
    <row r="112" spans="1:52" ht="12.75" customHeight="1">
      <c r="A112" s="44"/>
      <c r="H112" s="410"/>
      <c r="I112" s="414"/>
      <c r="J112" s="410"/>
      <c r="K112" s="182"/>
      <c r="L112" s="46" t="s">
        <v>376</v>
      </c>
      <c r="M112" s="411">
        <f>IF(M111=0,1,0)</f>
        <v>1</v>
      </c>
      <c r="N112" s="63" t="s">
        <v>149</v>
      </c>
      <c r="O112" s="406">
        <f>IF(M112=0,0,IF(D107&lt;=0%,1,0))</f>
        <v>1</v>
      </c>
      <c r="P112" s="412">
        <f>M112-Q112-O112</f>
        <v>0</v>
      </c>
      <c r="Q112" s="406">
        <f>IF(M112=0,0,IF(D107&gt;=10%,1,0))</f>
        <v>0</v>
      </c>
      <c r="R112" s="406">
        <v>0</v>
      </c>
      <c r="S112" s="413">
        <v>0.1</v>
      </c>
      <c r="T112" s="406"/>
      <c r="U112" s="407"/>
    </row>
    <row r="113" spans="1:21">
      <c r="A113" s="308"/>
      <c r="B113" s="308"/>
      <c r="C113" s="308"/>
      <c r="D113" s="181" t="str">
        <f>IF(E111="DECLINE","*Exceeds permitted income multiple",IF(E111="PASS","*Within permitted income multiple",IF(E111="N/A","*A single Income Multiple option must be selected")))</f>
        <v>*Within permitted income multiple</v>
      </c>
      <c r="E113" s="308"/>
      <c r="F113" s="308"/>
      <c r="G113" s="110" t="str">
        <f>Income!D8</f>
        <v>Standard Residential incl. Second Homes</v>
      </c>
      <c r="H113" s="410"/>
      <c r="I113" s="410"/>
      <c r="J113" s="308"/>
      <c r="K113" s="182"/>
      <c r="L113" s="46" t="s">
        <v>376</v>
      </c>
      <c r="M113" s="415"/>
      <c r="N113" s="283"/>
      <c r="O113" s="416">
        <f>SUM(O111:O112)</f>
        <v>1</v>
      </c>
      <c r="P113" s="416">
        <f>SUM(P111:P112)</f>
        <v>0</v>
      </c>
      <c r="Q113" s="416">
        <f>SUM(Q111:Q112)</f>
        <v>0</v>
      </c>
      <c r="R113" s="417" t="s">
        <v>35</v>
      </c>
      <c r="S113" s="416"/>
      <c r="T113" s="416"/>
      <c r="U113" s="263"/>
    </row>
    <row r="114" spans="1:21">
      <c r="D114" s="418"/>
      <c r="G114" s="47" t="str">
        <f>IF(Income!P81=3,"*One or both applicants are retired and also in receipt of paid income","-")</f>
        <v>-</v>
      </c>
      <c r="K114" s="182"/>
    </row>
    <row r="115" spans="1:21">
      <c r="D115" s="419"/>
      <c r="K115" s="182"/>
    </row>
    <row r="116" spans="1:21">
      <c r="K116" s="182"/>
      <c r="M116" s="270" t="s">
        <v>197</v>
      </c>
      <c r="N116" s="271"/>
      <c r="O116" s="271"/>
      <c r="P116" s="271"/>
      <c r="Q116" s="271"/>
      <c r="R116" s="271"/>
      <c r="S116" s="271"/>
      <c r="T116" s="271"/>
      <c r="U116" s="261"/>
    </row>
    <row r="117" spans="1:21">
      <c r="H117" s="217"/>
      <c r="K117" s="182"/>
      <c r="L117" s="46" t="s">
        <v>378</v>
      </c>
      <c r="M117" s="420"/>
      <c r="N117" s="257"/>
      <c r="O117" s="406" t="s">
        <v>150</v>
      </c>
      <c r="P117" s="406" t="s">
        <v>151</v>
      </c>
      <c r="Q117" s="406" t="s">
        <v>152</v>
      </c>
      <c r="R117" s="406" t="s">
        <v>150</v>
      </c>
      <c r="S117" s="406" t="s">
        <v>151</v>
      </c>
      <c r="T117" s="406" t="s">
        <v>152</v>
      </c>
      <c r="U117" s="407"/>
    </row>
    <row r="118" spans="1:21">
      <c r="H118" s="217"/>
      <c r="K118" s="182"/>
      <c r="L118" s="46" t="s">
        <v>377</v>
      </c>
      <c r="M118" s="421">
        <f>IF(Q28=2,1,0)</f>
        <v>0</v>
      </c>
      <c r="N118" s="258" t="s">
        <v>148</v>
      </c>
      <c r="O118" s="257">
        <f>IF(M118=0,0,IF(V107&lt;=0%,1,0))</f>
        <v>0</v>
      </c>
      <c r="P118" s="257">
        <f>M118-Q118-O118</f>
        <v>0</v>
      </c>
      <c r="Q118" s="257">
        <f>IF(M118=0,0,IF(V107&gt;=20%,1,0))</f>
        <v>0</v>
      </c>
      <c r="R118" s="55"/>
      <c r="S118" s="422">
        <v>0.2</v>
      </c>
      <c r="T118" s="257"/>
      <c r="U118" s="407"/>
    </row>
    <row r="119" spans="1:21">
      <c r="H119" s="217"/>
      <c r="K119" s="182"/>
      <c r="L119" s="46" t="s">
        <v>377</v>
      </c>
      <c r="M119" s="421">
        <f>IF(M118=0,1,0)</f>
        <v>1</v>
      </c>
      <c r="N119" s="258" t="s">
        <v>149</v>
      </c>
      <c r="O119" s="257">
        <f>IF(M119=0,0,IF(V107&lt;=0%,1,0))</f>
        <v>1</v>
      </c>
      <c r="P119" s="257">
        <f>M119-Q119-O119</f>
        <v>0</v>
      </c>
      <c r="Q119" s="257">
        <f>IF(M119=0,0,IF(V107&gt;=10%,1,0))</f>
        <v>0</v>
      </c>
      <c r="R119" s="257">
        <v>0</v>
      </c>
      <c r="S119" s="422">
        <v>0.1</v>
      </c>
      <c r="T119" s="257"/>
      <c r="U119" s="407"/>
    </row>
    <row r="120" spans="1:21">
      <c r="H120" s="217"/>
      <c r="K120" s="182"/>
      <c r="L120" s="46" t="s">
        <v>377</v>
      </c>
      <c r="M120" s="423"/>
      <c r="N120" s="283"/>
      <c r="O120" s="416">
        <f>SUM(O118:O119)</f>
        <v>1</v>
      </c>
      <c r="P120" s="416">
        <f>SUM(P118:P119)</f>
        <v>0</v>
      </c>
      <c r="Q120" s="416">
        <f>SUM(Q118:Q119)</f>
        <v>0</v>
      </c>
      <c r="R120" s="283"/>
      <c r="S120" s="283"/>
      <c r="T120" s="283"/>
      <c r="U120" s="263"/>
    </row>
    <row r="121" spans="1:21">
      <c r="H121" s="217"/>
      <c r="K121" s="182"/>
    </row>
    <row r="122" spans="1:21">
      <c r="H122" s="217"/>
      <c r="K122" s="182"/>
    </row>
    <row r="123" spans="1:21">
      <c r="H123" s="217"/>
      <c r="K123" s="182"/>
      <c r="M123" s="270" t="s">
        <v>352</v>
      </c>
      <c r="N123" s="271"/>
      <c r="O123" s="271"/>
      <c r="P123" s="271"/>
      <c r="Q123" s="271"/>
      <c r="R123" s="261"/>
    </row>
    <row r="124" spans="1:21">
      <c r="H124" s="217"/>
      <c r="K124" s="182"/>
      <c r="M124" s="273"/>
      <c r="N124" s="55"/>
      <c r="O124" s="424" t="s">
        <v>353</v>
      </c>
      <c r="P124" s="55"/>
      <c r="Q124" s="424"/>
      <c r="R124" s="407"/>
    </row>
    <row r="125" spans="1:21">
      <c r="K125" s="182"/>
      <c r="M125" s="67" t="s">
        <v>392</v>
      </c>
      <c r="N125" s="425">
        <v>4.5</v>
      </c>
      <c r="O125" s="257">
        <f>IF(R7="Yes",N125,0)</f>
        <v>4.5</v>
      </c>
      <c r="P125" s="55"/>
      <c r="Q125" s="257"/>
      <c r="R125" s="426"/>
    </row>
    <row r="126" spans="1:21">
      <c r="K126" s="182"/>
      <c r="M126" s="63" t="s">
        <v>393</v>
      </c>
      <c r="N126" s="425">
        <v>4.5</v>
      </c>
      <c r="O126" s="257">
        <f>IF(R8="Yes",N126,0)</f>
        <v>0</v>
      </c>
      <c r="P126" s="55"/>
      <c r="Q126" s="257"/>
      <c r="R126" s="426"/>
    </row>
    <row r="127" spans="1:21">
      <c r="K127" s="182"/>
      <c r="M127" s="67" t="s">
        <v>391</v>
      </c>
      <c r="N127" s="425">
        <v>3.5</v>
      </c>
      <c r="O127" s="257">
        <f>IF(R9="Yes",N127,0)</f>
        <v>0</v>
      </c>
      <c r="P127" s="55"/>
      <c r="Q127" s="257"/>
      <c r="R127" s="407"/>
    </row>
    <row r="128" spans="1:21">
      <c r="K128" s="427"/>
      <c r="M128" s="67" t="s">
        <v>229</v>
      </c>
      <c r="N128" s="425">
        <v>4.25</v>
      </c>
      <c r="O128" s="257">
        <f>IF(R10="Yes",N128,0)</f>
        <v>0</v>
      </c>
      <c r="P128" s="55"/>
      <c r="Q128" s="257"/>
      <c r="R128" s="407"/>
    </row>
    <row r="129" spans="2:20">
      <c r="K129" s="182"/>
      <c r="M129" s="428" t="s">
        <v>354</v>
      </c>
      <c r="N129" s="425">
        <v>5.5</v>
      </c>
      <c r="O129" s="257">
        <f>IF(R11="Yes",N129,0)</f>
        <v>0</v>
      </c>
      <c r="P129" s="55"/>
      <c r="Q129" s="55"/>
      <c r="R129" s="429"/>
    </row>
    <row r="130" spans="2:20">
      <c r="K130" s="182"/>
      <c r="M130" s="54" t="s">
        <v>349</v>
      </c>
      <c r="N130" s="55"/>
      <c r="O130" s="257">
        <f>SUM(O125:O129)</f>
        <v>4.5</v>
      </c>
      <c r="P130" s="55"/>
      <c r="Q130" s="55"/>
      <c r="R130" s="407"/>
    </row>
    <row r="131" spans="2:20">
      <c r="K131" s="182"/>
    </row>
    <row r="132" spans="2:20">
      <c r="G132" s="110"/>
      <c r="K132" s="182"/>
    </row>
    <row r="133" spans="2:20" ht="15">
      <c r="K133" s="182"/>
      <c r="M133" s="430" t="s">
        <v>203</v>
      </c>
      <c r="N133" s="55"/>
      <c r="O133" s="431" t="s">
        <v>355</v>
      </c>
      <c r="P133" s="55"/>
      <c r="Q133" s="431" t="s">
        <v>356</v>
      </c>
      <c r="R133" s="407"/>
    </row>
    <row r="134" spans="2:20">
      <c r="D134" s="181" t="s">
        <v>35</v>
      </c>
      <c r="K134" s="224"/>
      <c r="M134" s="432">
        <f>D111</f>
        <v>0</v>
      </c>
      <c r="N134" s="55"/>
      <c r="O134" s="433">
        <f>O130</f>
        <v>4.5</v>
      </c>
      <c r="P134" s="55"/>
      <c r="Q134" s="55" t="str">
        <f>IF(O134=0,"N/A",IF(M134&gt;O134,"DECLINE",IF(M134&lt;=O134,"PASS")))</f>
        <v>PASS</v>
      </c>
      <c r="R134" s="407"/>
    </row>
    <row r="135" spans="2:20">
      <c r="B135" s="24"/>
      <c r="C135" s="24"/>
      <c r="D135" s="434"/>
      <c r="E135" s="24"/>
      <c r="F135" s="307"/>
      <c r="G135" s="307"/>
      <c r="H135" s="307"/>
      <c r="K135" s="224"/>
    </row>
    <row r="136" spans="2:20" ht="13.8" thickBot="1">
      <c r="B136" s="307"/>
      <c r="C136" s="307"/>
      <c r="D136" s="435"/>
      <c r="E136" s="307"/>
      <c r="F136" s="307"/>
      <c r="G136" s="307"/>
      <c r="H136" s="307"/>
      <c r="K136" s="224"/>
      <c r="M136" s="436">
        <f>IF(O134=0,0,D111)</f>
        <v>0</v>
      </c>
      <c r="N136" s="135" t="s">
        <v>357</v>
      </c>
      <c r="O136" s="198"/>
      <c r="P136" s="198"/>
      <c r="Q136" s="198"/>
    </row>
    <row r="137" spans="2:20">
      <c r="B137" s="437"/>
      <c r="C137" s="438"/>
      <c r="D137" s="437"/>
      <c r="E137" s="437"/>
      <c r="K137" s="224"/>
      <c r="R137" s="439" t="s">
        <v>198</v>
      </c>
      <c r="S137" s="440"/>
    </row>
    <row r="138" spans="2:20">
      <c r="B138" s="437"/>
      <c r="C138" s="438"/>
      <c r="D138" s="437"/>
      <c r="E138" s="437"/>
      <c r="K138" s="224"/>
      <c r="R138" s="441" t="s">
        <v>199</v>
      </c>
      <c r="S138" s="442"/>
    </row>
    <row r="139" spans="2:20">
      <c r="B139" s="437"/>
      <c r="C139" s="438"/>
      <c r="D139" s="437"/>
      <c r="E139" s="437"/>
      <c r="K139" s="224"/>
      <c r="R139" s="441" t="s">
        <v>200</v>
      </c>
      <c r="S139" s="442"/>
    </row>
    <row r="140" spans="2:20" ht="13.8" thickBot="1">
      <c r="B140" s="437"/>
      <c r="C140" s="438"/>
      <c r="D140" s="437"/>
      <c r="E140" s="437"/>
      <c r="K140" s="224"/>
      <c r="R140" s="443" t="s">
        <v>201</v>
      </c>
      <c r="S140" s="444"/>
    </row>
    <row r="141" spans="2:20">
      <c r="B141" s="437"/>
      <c r="C141" s="438"/>
      <c r="D141" s="437"/>
      <c r="E141" s="437"/>
      <c r="K141" s="224"/>
      <c r="M141" s="46" t="s">
        <v>35</v>
      </c>
      <c r="T141" s="28" t="s">
        <v>35</v>
      </c>
    </row>
    <row r="142" spans="2:20">
      <c r="B142" s="437"/>
      <c r="C142" s="438"/>
      <c r="D142" s="437"/>
      <c r="E142" s="437"/>
      <c r="K142" s="224"/>
      <c r="T142" s="28" t="s">
        <v>35</v>
      </c>
    </row>
    <row r="143" spans="2:20">
      <c r="B143" s="437"/>
      <c r="C143" s="438"/>
      <c r="D143" s="437"/>
      <c r="E143" s="437"/>
      <c r="K143" s="224"/>
      <c r="L143" s="199" t="s">
        <v>121</v>
      </c>
      <c r="M143" s="199" t="e">
        <f>IF(#REF!="Fixed",1,0)</f>
        <v>#REF!</v>
      </c>
    </row>
    <row r="144" spans="2:20">
      <c r="D144" s="445"/>
      <c r="F144" s="307"/>
      <c r="K144" s="224"/>
      <c r="L144" s="199" t="s">
        <v>122</v>
      </c>
      <c r="M144" s="199" t="e">
        <f>IF(#REF!=5,1,0)</f>
        <v>#REF!</v>
      </c>
    </row>
    <row r="145" spans="4:16">
      <c r="D145" s="418"/>
      <c r="K145" s="224"/>
      <c r="L145" s="199" t="s">
        <v>123</v>
      </c>
      <c r="M145" s="199" t="e">
        <f>SUM(M143:M144)</f>
        <v>#REF!</v>
      </c>
    </row>
    <row r="146" spans="4:16">
      <c r="K146" s="224"/>
    </row>
    <row r="147" spans="4:16">
      <c r="K147" s="224"/>
    </row>
    <row r="148" spans="4:16">
      <c r="K148" s="224"/>
    </row>
    <row r="149" spans="4:16">
      <c r="K149" s="224"/>
      <c r="P149" s="46" t="s">
        <v>35</v>
      </c>
    </row>
    <row r="150" spans="4:16">
      <c r="K150" s="28"/>
    </row>
    <row r="151" spans="4:16">
      <c r="K151" s="28"/>
    </row>
    <row r="152" spans="4:16">
      <c r="K152" s="28"/>
    </row>
    <row r="153" spans="4:16">
      <c r="K153" s="28"/>
    </row>
    <row r="154" spans="4:16">
      <c r="K154" s="28"/>
    </row>
    <row r="155" spans="4:16">
      <c r="K155" s="28"/>
      <c r="N155" s="583" t="s">
        <v>101</v>
      </c>
      <c r="O155" s="583"/>
      <c r="P155" s="583"/>
    </row>
    <row r="156" spans="4:16">
      <c r="K156" s="28"/>
      <c r="N156" s="595" t="str">
        <f>LOOKUP(AC15,AC33:AC41,AB33:AB41)</f>
        <v>2 adults, no children</v>
      </c>
      <c r="O156" s="595"/>
      <c r="P156" s="595"/>
    </row>
    <row r="157" spans="4:16">
      <c r="K157" s="28"/>
      <c r="N157" s="82" t="s">
        <v>89</v>
      </c>
      <c r="O157" s="82"/>
      <c r="P157" s="450">
        <f>VLOOKUP($AC$15,$AF$29:$AN$37,5)</f>
        <v>264.33333333331302</v>
      </c>
    </row>
    <row r="158" spans="4:16">
      <c r="K158" s="28"/>
      <c r="N158" s="44" t="s">
        <v>111</v>
      </c>
      <c r="O158" s="82"/>
      <c r="P158" s="128">
        <f>AI42</f>
        <v>41.166666666663502</v>
      </c>
    </row>
    <row r="159" spans="4:16">
      <c r="K159" s="28"/>
      <c r="N159" s="44" t="s">
        <v>112</v>
      </c>
      <c r="O159" s="82"/>
      <c r="P159" s="128">
        <f>AI44</f>
        <v>45.066666666663203</v>
      </c>
    </row>
    <row r="160" spans="4:16">
      <c r="K160" s="28"/>
      <c r="N160" s="44" t="s">
        <v>113</v>
      </c>
      <c r="O160" s="82"/>
      <c r="P160" s="128">
        <f>AI43</f>
        <v>48.099999999996299</v>
      </c>
    </row>
    <row r="161" spans="11:16">
      <c r="K161" s="28"/>
      <c r="N161" s="44" t="s">
        <v>114</v>
      </c>
      <c r="O161" s="82"/>
      <c r="P161" s="128">
        <f>AI45</f>
        <v>3.4666666666664003</v>
      </c>
    </row>
    <row r="162" spans="11:16">
      <c r="K162" s="28"/>
      <c r="N162" s="217"/>
      <c r="O162" s="82"/>
      <c r="P162" s="451">
        <f>IF(F44=$K$1,D44/12,D44)</f>
        <v>0</v>
      </c>
    </row>
    <row r="163" spans="11:16">
      <c r="K163" s="28"/>
      <c r="N163" s="176"/>
      <c r="O163" s="82"/>
      <c r="P163" s="452">
        <f>IF(F45=$K$1,D45/12,IF(F45=$K$2,D45,D45*4.3333))</f>
        <v>0</v>
      </c>
    </row>
    <row r="164" spans="11:16">
      <c r="K164" s="28"/>
      <c r="N164" s="82" t="s">
        <v>82</v>
      </c>
      <c r="O164" s="82"/>
      <c r="P164" s="450">
        <f>VLOOKUP($AC$15,$AF$29:$AO$37,3)</f>
        <v>84.9333333333268</v>
      </c>
    </row>
    <row r="165" spans="11:16">
      <c r="K165" s="28"/>
      <c r="N165" s="44" t="s">
        <v>181</v>
      </c>
      <c r="P165" s="453">
        <f>IF(B47="No",0,AI57)</f>
        <v>0</v>
      </c>
    </row>
    <row r="166" spans="11:16">
      <c r="K166" s="28"/>
      <c r="N166" s="44" t="s">
        <v>64</v>
      </c>
      <c r="O166" s="44"/>
      <c r="P166" s="453">
        <f>VLOOKUP($AC$15,$AF$29:$AO$37,4)</f>
        <v>31.199999999997601</v>
      </c>
    </row>
    <row r="167" spans="11:16">
      <c r="K167" s="28"/>
      <c r="N167" s="44" t="s">
        <v>182</v>
      </c>
      <c r="P167" s="453">
        <f>IF(B49="No",0,AI64)</f>
        <v>0</v>
      </c>
    </row>
    <row r="168" spans="11:16">
      <c r="K168" s="28"/>
      <c r="N168" s="176"/>
      <c r="O168" s="82"/>
      <c r="P168" s="453">
        <f>IF(F50=$K$1,D50/12,IF(F50=$K$2,D50,D50*4.3333))</f>
        <v>0</v>
      </c>
    </row>
    <row r="169" spans="11:16">
      <c r="K169" s="28"/>
      <c r="N169" s="176"/>
      <c r="O169" s="82"/>
      <c r="P169" s="82"/>
    </row>
    <row r="170" spans="11:16">
      <c r="K170" s="28"/>
      <c r="N170" s="82"/>
      <c r="O170" s="82"/>
      <c r="P170" s="82"/>
    </row>
    <row r="171" spans="11:16">
      <c r="K171" s="28"/>
      <c r="N171" s="244"/>
      <c r="O171" s="82"/>
      <c r="P171" s="82"/>
    </row>
    <row r="172" spans="11:16">
      <c r="K172" s="28"/>
      <c r="N172" s="39" t="s">
        <v>531</v>
      </c>
      <c r="O172" s="82"/>
      <c r="P172" s="450">
        <f>VLOOKUP($AC$15,$AF$29:$AO$37,8)</f>
        <v>376.99999999997101</v>
      </c>
    </row>
    <row r="173" spans="11:16">
      <c r="K173" s="28"/>
      <c r="N173" s="244"/>
      <c r="O173" s="82"/>
      <c r="P173" s="452">
        <f>IF(F55=$K$1,D55/12,IF(F55=$K$2,D55,D55*4.3333))</f>
        <v>0</v>
      </c>
    </row>
    <row r="174" spans="11:16">
      <c r="K174" s="28"/>
      <c r="N174" s="44" t="s">
        <v>165</v>
      </c>
      <c r="O174" s="82"/>
      <c r="P174" s="450">
        <f>IF(B56="No",0,VLOOKUP($AC$15,$AF$29:$AO$37,6))</f>
        <v>0</v>
      </c>
    </row>
    <row r="175" spans="11:16">
      <c r="K175" s="28"/>
      <c r="N175" s="244"/>
      <c r="O175" s="82"/>
      <c r="P175" s="452">
        <f>IF(F57=$K$1,D57/12,IF(F57=$K$2,D57,D57*4.3333))</f>
        <v>0</v>
      </c>
    </row>
    <row r="176" spans="11:16">
      <c r="K176" s="28"/>
      <c r="N176" s="244"/>
      <c r="O176" s="82"/>
      <c r="P176" s="452">
        <f>IF(F58=$K$1,D58/12,IF(F58=$K$2,D58,D58*4.3333))</f>
        <v>0</v>
      </c>
    </row>
    <row r="177" spans="11:16">
      <c r="K177" s="28"/>
      <c r="N177" s="82" t="s">
        <v>36</v>
      </c>
      <c r="O177" s="82"/>
      <c r="P177" s="450">
        <f>VLOOKUP($AC$15,$AF$29:$AO$37,7)</f>
        <v>108.76666666665831</v>
      </c>
    </row>
    <row r="178" spans="11:16">
      <c r="K178" s="28"/>
      <c r="N178" s="44" t="s">
        <v>124</v>
      </c>
      <c r="O178" s="82"/>
      <c r="P178" s="450">
        <f>VLOOKUP($AC$15,$AF$29:$AO$37,10)</f>
        <v>215.3666666666501</v>
      </c>
    </row>
    <row r="179" spans="11:16">
      <c r="K179" s="224"/>
      <c r="N179" s="176"/>
      <c r="O179" s="82"/>
      <c r="P179" s="452">
        <f>IF(F61=$K$1,D61/12,IF(F61=$K$2,D61,D61*4.3333))</f>
        <v>0</v>
      </c>
    </row>
    <row r="180" spans="11:16">
      <c r="K180" s="224"/>
      <c r="N180" s="244"/>
      <c r="O180" s="82"/>
      <c r="P180" s="82"/>
    </row>
    <row r="181" spans="11:16">
      <c r="K181" s="224"/>
      <c r="N181" s="24" t="s">
        <v>98</v>
      </c>
      <c r="O181" s="82"/>
      <c r="P181" s="292">
        <f>SUM(P157:P179)</f>
        <v>1219.3999999999064</v>
      </c>
    </row>
    <row r="182" spans="11:16">
      <c r="K182" s="224"/>
      <c r="N182" s="176"/>
      <c r="O182" s="82"/>
      <c r="P182" s="82"/>
    </row>
    <row r="183" spans="11:16">
      <c r="K183" s="224"/>
      <c r="N183" s="307" t="s">
        <v>96</v>
      </c>
      <c r="O183" s="24"/>
      <c r="P183" s="292">
        <f>P181*12</f>
        <v>14632.799999998877</v>
      </c>
    </row>
    <row r="184" spans="11:16">
      <c r="K184" s="224"/>
    </row>
    <row r="185" spans="11:16">
      <c r="K185" s="224"/>
    </row>
    <row r="186" spans="11:16">
      <c r="K186" s="224"/>
    </row>
    <row r="187" spans="11:16">
      <c r="K187" s="224"/>
    </row>
    <row r="188" spans="11:16">
      <c r="K188" s="224"/>
    </row>
    <row r="189" spans="11:16">
      <c r="K189" s="224"/>
    </row>
    <row r="190" spans="11:16">
      <c r="K190" s="224"/>
    </row>
    <row r="191" spans="11:16">
      <c r="K191" s="224"/>
    </row>
    <row r="192" spans="11:16">
      <c r="K192" s="224"/>
    </row>
    <row r="193" spans="11:11">
      <c r="K193" s="224"/>
    </row>
    <row r="194" spans="11:11">
      <c r="K194" s="224"/>
    </row>
    <row r="195" spans="11:11">
      <c r="K195" s="224"/>
    </row>
    <row r="196" spans="11:11">
      <c r="K196" s="224"/>
    </row>
    <row r="197" spans="11:11">
      <c r="K197" s="224"/>
    </row>
    <row r="198" spans="11:11">
      <c r="K198" s="224"/>
    </row>
    <row r="199" spans="11:11">
      <c r="K199" s="224"/>
    </row>
    <row r="200" spans="11:11">
      <c r="K200" s="224"/>
    </row>
    <row r="201" spans="11:11">
      <c r="K201" s="224"/>
    </row>
    <row r="202" spans="11:11">
      <c r="K202" s="224"/>
    </row>
    <row r="203" spans="11:11">
      <c r="K203" s="224"/>
    </row>
    <row r="204" spans="11:11">
      <c r="K204" s="224"/>
    </row>
    <row r="205" spans="11:11">
      <c r="K205" s="224"/>
    </row>
    <row r="206" spans="11:11">
      <c r="K206" s="224"/>
    </row>
    <row r="207" spans="11:11">
      <c r="K207" s="224"/>
    </row>
    <row r="208" spans="11:11">
      <c r="K208" s="224"/>
    </row>
    <row r="209" spans="11:11">
      <c r="K209" s="224"/>
    </row>
    <row r="210" spans="11:11">
      <c r="K210" s="224"/>
    </row>
    <row r="211" spans="11:11">
      <c r="K211" s="224"/>
    </row>
    <row r="212" spans="11:11">
      <c r="K212" s="224"/>
    </row>
    <row r="213" spans="11:11">
      <c r="K213" s="224"/>
    </row>
    <row r="214" spans="11:11">
      <c r="K214" s="224"/>
    </row>
    <row r="215" spans="11:11">
      <c r="K215" s="224"/>
    </row>
    <row r="216" spans="11:11">
      <c r="K216" s="224"/>
    </row>
    <row r="217" spans="11:11">
      <c r="K217" s="224"/>
    </row>
    <row r="218" spans="11:11">
      <c r="K218" s="224"/>
    </row>
    <row r="219" spans="11:11">
      <c r="K219" s="224"/>
    </row>
    <row r="220" spans="11:11">
      <c r="K220" s="224"/>
    </row>
    <row r="221" spans="11:11">
      <c r="K221" s="224"/>
    </row>
    <row r="222" spans="11:11">
      <c r="K222" s="224"/>
    </row>
    <row r="223" spans="11:11">
      <c r="K223" s="224"/>
    </row>
    <row r="224" spans="11:11">
      <c r="K224" s="224"/>
    </row>
    <row r="225" spans="11:11">
      <c r="K225" s="224"/>
    </row>
    <row r="226" spans="11:11">
      <c r="K226" s="224"/>
    </row>
    <row r="227" spans="11:11">
      <c r="K227" s="224"/>
    </row>
    <row r="228" spans="11:11">
      <c r="K228" s="224"/>
    </row>
    <row r="229" spans="11:11">
      <c r="K229" s="224"/>
    </row>
    <row r="230" spans="11:11">
      <c r="K230" s="224"/>
    </row>
    <row r="231" spans="11:11">
      <c r="K231" s="224"/>
    </row>
    <row r="232" spans="11:11">
      <c r="K232" s="224"/>
    </row>
    <row r="233" spans="11:11">
      <c r="K233" s="224"/>
    </row>
    <row r="234" spans="11:11">
      <c r="K234" s="224"/>
    </row>
    <row r="235" spans="11:11">
      <c r="K235" s="224"/>
    </row>
    <row r="236" spans="11:11">
      <c r="K236" s="224"/>
    </row>
    <row r="237" spans="11:11">
      <c r="K237" s="224"/>
    </row>
    <row r="238" spans="11:11">
      <c r="K238" s="224"/>
    </row>
    <row r="239" spans="11:11">
      <c r="K239" s="224"/>
    </row>
    <row r="240" spans="11:11">
      <c r="K240" s="224"/>
    </row>
    <row r="241" spans="11:11">
      <c r="K241" s="224"/>
    </row>
    <row r="242" spans="11:11">
      <c r="K242" s="224"/>
    </row>
    <row r="243" spans="11:11">
      <c r="K243" s="224"/>
    </row>
    <row r="244" spans="11:11">
      <c r="K244" s="224"/>
    </row>
    <row r="245" spans="11:11">
      <c r="K245" s="224"/>
    </row>
    <row r="246" spans="11:11">
      <c r="K246" s="224"/>
    </row>
    <row r="247" spans="11:11">
      <c r="K247" s="224"/>
    </row>
    <row r="248" spans="11:11">
      <c r="K248" s="224"/>
    </row>
    <row r="249" spans="11:11">
      <c r="K249" s="224"/>
    </row>
    <row r="250" spans="11:11">
      <c r="K250" s="224"/>
    </row>
    <row r="251" spans="11:11">
      <c r="K251" s="224"/>
    </row>
    <row r="252" spans="11:11">
      <c r="K252" s="224"/>
    </row>
    <row r="253" spans="11:11">
      <c r="K253" s="224"/>
    </row>
    <row r="254" spans="11:11">
      <c r="K254" s="224"/>
    </row>
    <row r="255" spans="11:11">
      <c r="K255" s="224"/>
    </row>
    <row r="256" spans="11:11">
      <c r="K256" s="224"/>
    </row>
    <row r="257" spans="11:11">
      <c r="K257" s="224"/>
    </row>
    <row r="258" spans="11:11">
      <c r="K258" s="224"/>
    </row>
    <row r="259" spans="11:11">
      <c r="K259" s="454"/>
    </row>
    <row r="260" spans="11:11">
      <c r="K260" s="454"/>
    </row>
    <row r="261" spans="11:11">
      <c r="K261" s="454"/>
    </row>
    <row r="262" spans="11:11">
      <c r="K262" s="454"/>
    </row>
    <row r="263" spans="11:11">
      <c r="K263" s="454"/>
    </row>
    <row r="264" spans="11:11">
      <c r="K264" s="454"/>
    </row>
    <row r="265" spans="11:11">
      <c r="K265" s="454"/>
    </row>
    <row r="266" spans="11:11">
      <c r="K266" s="454"/>
    </row>
    <row r="267" spans="11:11">
      <c r="K267" s="454"/>
    </row>
    <row r="268" spans="11:11">
      <c r="K268" s="454"/>
    </row>
    <row r="269" spans="11:11">
      <c r="K269" s="454"/>
    </row>
    <row r="270" spans="11:11">
      <c r="K270" s="454"/>
    </row>
    <row r="271" spans="11:11">
      <c r="K271" s="454"/>
    </row>
    <row r="272" spans="11:11">
      <c r="K272" s="454"/>
    </row>
    <row r="273" spans="11:11">
      <c r="K273" s="454"/>
    </row>
    <row r="274" spans="11:11">
      <c r="K274" s="454"/>
    </row>
    <row r="275" spans="11:11">
      <c r="K275" s="454"/>
    </row>
    <row r="276" spans="11:11">
      <c r="K276" s="454"/>
    </row>
    <row r="277" spans="11:11">
      <c r="K277" s="454"/>
    </row>
    <row r="278" spans="11:11">
      <c r="K278" s="454"/>
    </row>
    <row r="279" spans="11:11">
      <c r="K279" s="454"/>
    </row>
    <row r="280" spans="11:11">
      <c r="K280" s="454"/>
    </row>
    <row r="281" spans="11:11">
      <c r="K281" s="454"/>
    </row>
    <row r="282" spans="11:11">
      <c r="K282" s="454"/>
    </row>
    <row r="283" spans="11:11">
      <c r="K283" s="454"/>
    </row>
    <row r="284" spans="11:11">
      <c r="K284" s="454"/>
    </row>
    <row r="285" spans="11:11">
      <c r="K285" s="454"/>
    </row>
    <row r="286" spans="11:11">
      <c r="K286" s="454"/>
    </row>
    <row r="287" spans="11:11">
      <c r="K287" s="454"/>
    </row>
    <row r="288" spans="11:11">
      <c r="K288" s="454"/>
    </row>
    <row r="289" spans="11:11">
      <c r="K289" s="454"/>
    </row>
    <row r="290" spans="11:11">
      <c r="K290" s="454"/>
    </row>
    <row r="291" spans="11:11">
      <c r="K291" s="454"/>
    </row>
    <row r="292" spans="11:11">
      <c r="K292" s="454"/>
    </row>
    <row r="293" spans="11:11">
      <c r="K293" s="454"/>
    </row>
    <row r="294" spans="11:11">
      <c r="K294" s="454"/>
    </row>
    <row r="295" spans="11:11">
      <c r="K295" s="454"/>
    </row>
    <row r="296" spans="11:11">
      <c r="K296" s="454"/>
    </row>
    <row r="297" spans="11:11">
      <c r="K297" s="454"/>
    </row>
    <row r="298" spans="11:11">
      <c r="K298" s="454"/>
    </row>
    <row r="299" spans="11:11">
      <c r="K299" s="454"/>
    </row>
    <row r="300" spans="11:11">
      <c r="K300" s="454"/>
    </row>
    <row r="301" spans="11:11">
      <c r="K301" s="454"/>
    </row>
    <row r="302" spans="11:11">
      <c r="K302" s="454"/>
    </row>
    <row r="303" spans="11:11">
      <c r="K303" s="454"/>
    </row>
    <row r="304" spans="11:11">
      <c r="K304" s="454"/>
    </row>
    <row r="305" spans="11:11">
      <c r="K305" s="454"/>
    </row>
    <row r="306" spans="11:11">
      <c r="K306" s="454"/>
    </row>
    <row r="307" spans="11:11">
      <c r="K307" s="454"/>
    </row>
    <row r="308" spans="11:11">
      <c r="K308" s="454"/>
    </row>
    <row r="309" spans="11:11">
      <c r="K309" s="454"/>
    </row>
    <row r="310" spans="11:11">
      <c r="K310" s="454"/>
    </row>
    <row r="311" spans="11:11">
      <c r="K311" s="454"/>
    </row>
    <row r="312" spans="11:11">
      <c r="K312" s="454"/>
    </row>
    <row r="313" spans="11:11">
      <c r="K313" s="454"/>
    </row>
    <row r="314" spans="11:11">
      <c r="K314" s="454"/>
    </row>
    <row r="315" spans="11:11">
      <c r="K315" s="454"/>
    </row>
    <row r="316" spans="11:11">
      <c r="K316" s="454"/>
    </row>
    <row r="317" spans="11:11">
      <c r="K317" s="454"/>
    </row>
    <row r="318" spans="11:11">
      <c r="K318" s="454"/>
    </row>
    <row r="319" spans="11:11">
      <c r="K319" s="454"/>
    </row>
    <row r="320" spans="11:11">
      <c r="K320" s="454"/>
    </row>
    <row r="321" spans="11:11">
      <c r="K321" s="454"/>
    </row>
    <row r="322" spans="11:11">
      <c r="K322" s="454"/>
    </row>
    <row r="323" spans="11:11">
      <c r="K323" s="454"/>
    </row>
    <row r="324" spans="11:11">
      <c r="K324" s="454"/>
    </row>
    <row r="325" spans="11:11">
      <c r="K325" s="454"/>
    </row>
    <row r="326" spans="11:11">
      <c r="K326" s="454"/>
    </row>
    <row r="327" spans="11:11">
      <c r="K327" s="454"/>
    </row>
    <row r="328" spans="11:11">
      <c r="K328" s="454"/>
    </row>
    <row r="329" spans="11:11">
      <c r="K329" s="454"/>
    </row>
    <row r="330" spans="11:11">
      <c r="K330" s="454"/>
    </row>
    <row r="331" spans="11:11">
      <c r="K331" s="454"/>
    </row>
    <row r="332" spans="11:11">
      <c r="K332" s="454"/>
    </row>
    <row r="333" spans="11:11">
      <c r="K333" s="454"/>
    </row>
    <row r="334" spans="11:11">
      <c r="K334" s="454"/>
    </row>
    <row r="335" spans="11:11">
      <c r="K335" s="454"/>
    </row>
    <row r="336" spans="11:11">
      <c r="K336" s="454"/>
    </row>
    <row r="337" spans="11:11">
      <c r="K337" s="454"/>
    </row>
    <row r="338" spans="11:11">
      <c r="K338" s="454"/>
    </row>
    <row r="339" spans="11:11">
      <c r="K339" s="454"/>
    </row>
    <row r="340" spans="11:11">
      <c r="K340" s="454"/>
    </row>
    <row r="341" spans="11:11">
      <c r="K341" s="454"/>
    </row>
    <row r="342" spans="11:11">
      <c r="K342" s="454"/>
    </row>
    <row r="343" spans="11:11">
      <c r="K343" s="454"/>
    </row>
    <row r="344" spans="11:11">
      <c r="K344" s="454"/>
    </row>
    <row r="345" spans="11:11">
      <c r="K345" s="454"/>
    </row>
    <row r="346" spans="11:11">
      <c r="K346" s="454"/>
    </row>
    <row r="347" spans="11:11">
      <c r="K347" s="454"/>
    </row>
    <row r="348" spans="11:11">
      <c r="K348" s="454"/>
    </row>
    <row r="349" spans="11:11">
      <c r="K349" s="454"/>
    </row>
    <row r="350" spans="11:11">
      <c r="K350" s="454"/>
    </row>
    <row r="351" spans="11:11">
      <c r="K351" s="454"/>
    </row>
    <row r="352" spans="11:11">
      <c r="K352" s="454"/>
    </row>
  </sheetData>
  <sheetProtection algorithmName="SHA-512" hashValue="4zKQR3O529q/u3HzqG+JIbee/1ncpygebCLaivV29VMdEkqOnUy+Or0e7e7en6afqhLYOpraC2+ix6WwCnQvFw==" saltValue="Aw/SK3REo+Zhm/fNqPuHiQ==" spinCount="100000" sheet="1" objects="1" scenarios="1"/>
  <mergeCells count="69">
    <mergeCell ref="V69:X69"/>
    <mergeCell ref="N156:P156"/>
    <mergeCell ref="I27:J27"/>
    <mergeCell ref="Y39:Z39"/>
    <mergeCell ref="W51:Z62"/>
    <mergeCell ref="S42:T42"/>
    <mergeCell ref="M91:N92"/>
    <mergeCell ref="K91:K92"/>
    <mergeCell ref="W50:Z50"/>
    <mergeCell ref="O6:R6"/>
    <mergeCell ref="O29:P29"/>
    <mergeCell ref="I89:I90"/>
    <mergeCell ref="N155:P155"/>
    <mergeCell ref="I93:I94"/>
    <mergeCell ref="O8:Q8"/>
    <mergeCell ref="O7:Q7"/>
    <mergeCell ref="H13:I13"/>
    <mergeCell ref="O27:Q27"/>
    <mergeCell ref="O11:Q11"/>
    <mergeCell ref="O10:Q10"/>
    <mergeCell ref="O9:Q9"/>
    <mergeCell ref="O22:Q22"/>
    <mergeCell ref="O21:Q21"/>
    <mergeCell ref="I95:I96"/>
    <mergeCell ref="M88:N88"/>
    <mergeCell ref="A1:C1"/>
    <mergeCell ref="A2:C2"/>
    <mergeCell ref="C7:F7"/>
    <mergeCell ref="I91:I92"/>
    <mergeCell ref="J91:J92"/>
    <mergeCell ref="A4:C4"/>
    <mergeCell ref="E4:F4"/>
    <mergeCell ref="A5:C5"/>
    <mergeCell ref="F22:I23"/>
    <mergeCell ref="E5:F5"/>
    <mergeCell ref="H11:J11"/>
    <mergeCell ref="H32:I32"/>
    <mergeCell ref="F85:H88"/>
    <mergeCell ref="F91:H92"/>
    <mergeCell ref="AB65:AC66"/>
    <mergeCell ref="M70:O70"/>
    <mergeCell ref="F89:H90"/>
    <mergeCell ref="V88:X92"/>
    <mergeCell ref="R70:S70"/>
    <mergeCell ref="AB73:AC73"/>
    <mergeCell ref="M89:N90"/>
    <mergeCell ref="L89:L90"/>
    <mergeCell ref="F83:J84"/>
    <mergeCell ref="I86:I87"/>
    <mergeCell ref="O89:O90"/>
    <mergeCell ref="J86:J87"/>
    <mergeCell ref="K89:K90"/>
    <mergeCell ref="J89:J90"/>
    <mergeCell ref="O91:O92"/>
    <mergeCell ref="L91:L92"/>
    <mergeCell ref="AI85:AJ85"/>
    <mergeCell ref="AG84:AJ84"/>
    <mergeCell ref="AB85:AD85"/>
    <mergeCell ref="AN88:AQ90"/>
    <mergeCell ref="G111:H111"/>
    <mergeCell ref="F100:J101"/>
    <mergeCell ref="F98:J99"/>
    <mergeCell ref="AB97:AD97"/>
    <mergeCell ref="AG85:AH85"/>
    <mergeCell ref="F97:H97"/>
    <mergeCell ref="F95:H96"/>
    <mergeCell ref="J95:J96"/>
    <mergeCell ref="F93:H94"/>
    <mergeCell ref="J93:J94"/>
  </mergeCells>
  <phoneticPr fontId="3" type="noConversion"/>
  <conditionalFormatting sqref="D39">
    <cfRule type="cellIs" dxfId="41" priority="111" operator="equal">
      <formula>$P$157</formula>
    </cfRule>
  </conditionalFormatting>
  <conditionalFormatting sqref="D40">
    <cfRule type="cellIs" dxfId="40" priority="112" operator="equal">
      <formula>SUM($P$158:$P$160)</formula>
    </cfRule>
  </conditionalFormatting>
  <conditionalFormatting sqref="D43">
    <cfRule type="cellIs" dxfId="39" priority="106" operator="equal">
      <formula>$P$161</formula>
    </cfRule>
  </conditionalFormatting>
  <conditionalFormatting sqref="D46">
    <cfRule type="cellIs" dxfId="38" priority="114" operator="equal">
      <formula>$P$164</formula>
    </cfRule>
  </conditionalFormatting>
  <conditionalFormatting sqref="D47">
    <cfRule type="cellIs" dxfId="37" priority="115" operator="equal">
      <formula>$P$165</formula>
    </cfRule>
  </conditionalFormatting>
  <conditionalFormatting sqref="D48">
    <cfRule type="cellIs" dxfId="36" priority="107" operator="equal">
      <formula>$P$166</formula>
    </cfRule>
  </conditionalFormatting>
  <conditionalFormatting sqref="D49">
    <cfRule type="cellIs" dxfId="35" priority="117" operator="equal">
      <formula>$P$167</formula>
    </cfRule>
  </conditionalFormatting>
  <conditionalFormatting sqref="D54">
    <cfRule type="cellIs" dxfId="34" priority="109" operator="equal">
      <formula>$P$172</formula>
    </cfRule>
  </conditionalFormatting>
  <conditionalFormatting sqref="D56">
    <cfRule type="cellIs" dxfId="33" priority="119" operator="equal">
      <formula>$P$174</formula>
    </cfRule>
  </conditionalFormatting>
  <conditionalFormatting sqref="D59">
    <cfRule type="cellIs" dxfId="32" priority="121" operator="equal">
      <formula>$P$177</formula>
    </cfRule>
  </conditionalFormatting>
  <conditionalFormatting sqref="D60">
    <cfRule type="cellIs" dxfId="31" priority="120" operator="equal">
      <formula>$P$178</formula>
    </cfRule>
  </conditionalFormatting>
  <conditionalFormatting sqref="D107">
    <cfRule type="expression" dxfId="30" priority="71" stopIfTrue="1">
      <formula>$Q$113=1</formula>
    </cfRule>
    <cfRule type="expression" dxfId="29" priority="73" stopIfTrue="1">
      <formula>$O$113=1</formula>
    </cfRule>
    <cfRule type="expression" dxfId="28" priority="72" stopIfTrue="1">
      <formula>$P$113=1</formula>
    </cfRule>
  </conditionalFormatting>
  <conditionalFormatting sqref="D111">
    <cfRule type="expression" dxfId="27" priority="32" stopIfTrue="1">
      <formula>$E$111="DECLINE"</formula>
    </cfRule>
    <cfRule type="expression" dxfId="26" priority="33" stopIfTrue="1">
      <formula>$E$111="PASS"</formula>
    </cfRule>
  </conditionalFormatting>
  <conditionalFormatting sqref="E107">
    <cfRule type="containsText" dxfId="25" priority="41" stopIfTrue="1" operator="containsText" text="DECLINE">
      <formula>NOT(ISERROR(SEARCH("DECLINE",E107)))</formula>
    </cfRule>
    <cfRule type="containsText" dxfId="24" priority="42" stopIfTrue="1" operator="containsText" text="REFER">
      <formula>NOT(ISERROR(SEARCH("REFER",E107)))</formula>
    </cfRule>
    <cfRule type="containsText" dxfId="23" priority="43" stopIfTrue="1" operator="containsText" text="PASS">
      <formula>NOT(ISERROR(SEARCH("PASS",E107)))</formula>
    </cfRule>
  </conditionalFormatting>
  <conditionalFormatting sqref="E111">
    <cfRule type="containsText" dxfId="22" priority="51" stopIfTrue="1" operator="containsText" text="PASS">
      <formula>NOT(ISERROR(SEARCH("PASS",E111)))</formula>
    </cfRule>
    <cfRule type="containsText" dxfId="21" priority="27" stopIfTrue="1" operator="containsText" text="N/a">
      <formula>NOT(ISERROR(SEARCH("N/a",E111)))</formula>
    </cfRule>
    <cfRule type="containsText" dxfId="20" priority="50" stopIfTrue="1" operator="containsText" text="DECLINE">
      <formula>NOT(ISERROR(SEARCH("DECLINE",E111)))</formula>
    </cfRule>
  </conditionalFormatting>
  <conditionalFormatting sqref="F22">
    <cfRule type="expression" dxfId="19" priority="15" stopIfTrue="1">
      <formula>$P$48&lt;$P$47</formula>
    </cfRule>
    <cfRule type="expression" dxfId="18" priority="14" stopIfTrue="1">
      <formula>$P$48&gt;$P$47</formula>
    </cfRule>
  </conditionalFormatting>
  <conditionalFormatting sqref="G114">
    <cfRule type="containsText" dxfId="17" priority="21" stopIfTrue="1" operator="containsText" text="retired">
      <formula>NOT(ISERROR(SEARCH("retired",G114)))</formula>
    </cfRule>
  </conditionalFormatting>
  <conditionalFormatting sqref="H19">
    <cfRule type="containsText" dxfId="16" priority="22" stopIfTrue="1" operator="containsText" text="Above">
      <formula>NOT(ISERROR(SEARCH("Above",H19)))</formula>
    </cfRule>
  </conditionalFormatting>
  <conditionalFormatting sqref="I93">
    <cfRule type="expression" dxfId="15" priority="87" stopIfTrue="1">
      <formula>$I$93&gt;$P$89</formula>
    </cfRule>
    <cfRule type="expression" dxfId="14" priority="88" stopIfTrue="1">
      <formula>$I$93&lt;=$P$89</formula>
    </cfRule>
  </conditionalFormatting>
  <conditionalFormatting sqref="I97">
    <cfRule type="containsText" dxfId="13" priority="36" stopIfTrue="1" operator="containsText" text="FAIL">
      <formula>NOT(ISERROR(SEARCH("FAIL",I97)))</formula>
    </cfRule>
  </conditionalFormatting>
  <conditionalFormatting sqref="I97:J97">
    <cfRule type="containsText" dxfId="12" priority="29" stopIfTrue="1" operator="containsText" text="PASS">
      <formula>NOT(ISERROR(SEARCH("PASS",I97)))</formula>
    </cfRule>
  </conditionalFormatting>
  <conditionalFormatting sqref="J93">
    <cfRule type="expression" dxfId="11" priority="85" stopIfTrue="1">
      <formula>$J$93&gt;$P$91</formula>
    </cfRule>
    <cfRule type="expression" dxfId="10" priority="86" stopIfTrue="1">
      <formula>$J$93&lt;=$P$91</formula>
    </cfRule>
  </conditionalFormatting>
  <conditionalFormatting sqref="J97">
    <cfRule type="containsText" dxfId="9" priority="28" stopIfTrue="1" operator="containsText" text="FAIL">
      <formula>NOT(ISERROR(SEARCH("FAIL",J97)))</formula>
    </cfRule>
  </conditionalFormatting>
  <conditionalFormatting sqref="S100">
    <cfRule type="containsText" dxfId="8" priority="46" stopIfTrue="1" operator="containsText" text="PASS">
      <formula>NOT(ISERROR(SEARCH("PASS",S100)))</formula>
    </cfRule>
    <cfRule type="containsText" dxfId="7" priority="45" stopIfTrue="1" operator="containsText" text="REFER">
      <formula>NOT(ISERROR(SEARCH("REFER",S100)))</formula>
    </cfRule>
    <cfRule type="containsText" dxfId="6" priority="44" stopIfTrue="1" operator="containsText" text="DECLINE">
      <formula>NOT(ISERROR(SEARCH("DECLINE",S100)))</formula>
    </cfRule>
  </conditionalFormatting>
  <conditionalFormatting sqref="V107">
    <cfRule type="expression" dxfId="5" priority="74" stopIfTrue="1">
      <formula>$Q$120</formula>
    </cfRule>
    <cfRule type="expression" dxfId="4" priority="75" stopIfTrue="1">
      <formula>$P$120=1</formula>
    </cfRule>
    <cfRule type="expression" dxfId="3" priority="76" stopIfTrue="1">
      <formula>$O$120=1</formula>
    </cfRule>
  </conditionalFormatting>
  <conditionalFormatting sqref="W107">
    <cfRule type="containsText" dxfId="2" priority="47" stopIfTrue="1" operator="containsText" text="DECLINE">
      <formula>NOT(ISERROR(SEARCH("DECLINE",W107)))</formula>
    </cfRule>
    <cfRule type="containsText" dxfId="1" priority="49" stopIfTrue="1" operator="containsText" text="PASS">
      <formula>NOT(ISERROR(SEARCH("PASS",W107)))</formula>
    </cfRule>
    <cfRule type="containsText" dxfId="0" priority="48" stopIfTrue="1" operator="containsText" text="REFER">
      <formula>NOT(ISERROR(SEARCH("REFER",W107)))</formula>
    </cfRule>
  </conditionalFormatting>
  <dataValidations count="8">
    <dataValidation type="list" allowBlank="1" showInputMessage="1" showErrorMessage="1" sqref="G72:G79" xr:uid="{00000000-0002-0000-0100-000000000000}">
      <formula1>$P$83:$P$87</formula1>
    </dataValidation>
    <dataValidation type="list" allowBlank="1" showInputMessage="1" showErrorMessage="1" sqref="B56 B49 B47 C25" xr:uid="{00000000-0002-0000-0100-000001000000}">
      <formula1>$AC$57:$AC$58</formula1>
    </dataValidation>
    <dataValidation type="list" allowBlank="1" showInputMessage="1" showErrorMessage="1" sqref="H74:H79" xr:uid="{00000000-0002-0000-0100-000002000000}">
      <formula1>$AE$72:$AE$73</formula1>
    </dataValidation>
    <dataValidation type="whole" allowBlank="1" showInputMessage="1" showErrorMessage="1" sqref="E5" xr:uid="{00000000-0002-0000-0100-000004000000}">
      <formula1>0</formula1>
      <formula2>999999</formula2>
    </dataValidation>
    <dataValidation type="list" allowBlank="1" showInputMessage="1" showErrorMessage="1" sqref="C68" xr:uid="{5F5DFE54-95C9-434E-8211-0EA118A39CBF}">
      <formula1>$M$62:$M$64</formula1>
    </dataValidation>
    <dataValidation type="list" allowBlank="1" showInputMessage="1" showErrorMessage="1" sqref="F72:F79" xr:uid="{ED3DC340-B0E1-4B5E-9556-EC17A85B5AC5}">
      <formula1>$O$83:$O$84</formula1>
    </dataValidation>
    <dataValidation allowBlank="1" showInputMessage="1" showErrorMessage="1" error="Please enter only the numbers from the tax code" sqref="C7" xr:uid="{4BFE12B1-63B6-498E-958C-82C6C1CEF8D0}"/>
    <dataValidation type="list" allowBlank="1" showInputMessage="1" showErrorMessage="1" sqref="AG103" xr:uid="{7C8F7AAC-46A1-480B-8EC6-2BE3E8A99C96}">
      <formula1>$AB$87:$AB$94</formula1>
    </dataValidation>
  </dataValidations>
  <pageMargins left="0.31496062992125984" right="0.39370078740157483" top="0.27559055118110237" bottom="0.15748031496062992" header="0.31496062992125984" footer="0.19685039370078741"/>
  <pageSetup paperSize="9" scale="65" fitToHeight="2" orientation="landscape" r:id="rId1"/>
  <headerFooter alignWithMargins="0"/>
  <rowBreaks count="1" manualBreakCount="1">
    <brk id="66" max="2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20"/>
  <sheetViews>
    <sheetView topLeftCell="A35" zoomScale="85" zoomScaleNormal="85" workbookViewId="0">
      <selection activeCell="H69" sqref="H69"/>
    </sheetView>
  </sheetViews>
  <sheetFormatPr defaultColWidth="9.109375" defaultRowHeight="13.2"/>
  <cols>
    <col min="4" max="4" width="26.6640625" customWidth="1"/>
  </cols>
  <sheetData>
    <row r="1" spans="1:27">
      <c r="A1" s="3" t="s">
        <v>230</v>
      </c>
    </row>
    <row r="3" spans="1:27" ht="18">
      <c r="A3" s="12" t="s">
        <v>231</v>
      </c>
    </row>
    <row r="4" spans="1:27" ht="18">
      <c r="A4" s="12"/>
    </row>
    <row r="5" spans="1:27" ht="14.4">
      <c r="A5" s="19" t="s">
        <v>299</v>
      </c>
      <c r="B5" s="4"/>
      <c r="C5" s="4"/>
      <c r="D5" s="4"/>
      <c r="E5" s="4"/>
      <c r="F5" s="4"/>
      <c r="G5" s="4"/>
      <c r="H5" s="4"/>
      <c r="I5" s="4"/>
      <c r="J5" s="4"/>
      <c r="K5" s="4"/>
      <c r="L5" s="4"/>
      <c r="M5" s="4"/>
      <c r="N5" s="4"/>
      <c r="O5" s="4"/>
      <c r="P5" s="4"/>
      <c r="Q5" s="4"/>
      <c r="R5" s="4"/>
      <c r="S5" s="4"/>
      <c r="T5" s="4"/>
      <c r="U5" s="4"/>
      <c r="V5" s="4"/>
      <c r="W5" s="4"/>
      <c r="X5" s="4"/>
      <c r="Y5" s="4"/>
      <c r="Z5" s="4"/>
      <c r="AA5" s="4"/>
    </row>
    <row r="6" spans="1:27" ht="14.4">
      <c r="A6" s="13" t="s">
        <v>414</v>
      </c>
      <c r="B6" s="4"/>
      <c r="C6" s="4"/>
      <c r="D6" s="4"/>
      <c r="E6" s="16" t="s">
        <v>454</v>
      </c>
      <c r="F6" s="4"/>
      <c r="G6" s="4"/>
      <c r="H6" s="4"/>
      <c r="I6" s="4"/>
      <c r="J6" s="4"/>
      <c r="K6" s="4"/>
      <c r="L6" s="4"/>
      <c r="M6" s="4"/>
      <c r="N6" s="4"/>
      <c r="O6" s="4"/>
      <c r="P6" s="4"/>
      <c r="Q6" s="4"/>
      <c r="R6" s="4"/>
      <c r="S6" s="4"/>
      <c r="T6" s="4"/>
      <c r="U6" s="4"/>
      <c r="V6" s="4"/>
      <c r="W6" s="4"/>
      <c r="X6" s="4"/>
      <c r="Y6" s="4"/>
      <c r="Z6" s="4"/>
      <c r="AA6" s="4"/>
    </row>
    <row r="7" spans="1:27" ht="14.4">
      <c r="A7" s="13" t="s">
        <v>424</v>
      </c>
      <c r="B7" s="4"/>
      <c r="C7" s="4"/>
      <c r="D7" s="4"/>
      <c r="E7" s="14" t="s">
        <v>422</v>
      </c>
      <c r="F7" s="14"/>
      <c r="G7" s="14"/>
      <c r="H7" s="14"/>
      <c r="I7" s="14"/>
      <c r="J7" s="14"/>
      <c r="K7" s="14"/>
      <c r="L7" s="14"/>
      <c r="M7" s="14"/>
      <c r="N7" s="14"/>
      <c r="O7" s="14"/>
      <c r="P7" s="14"/>
      <c r="Q7" s="14"/>
      <c r="R7" s="14"/>
      <c r="S7" s="14"/>
      <c r="T7" s="14"/>
      <c r="U7" s="14"/>
      <c r="V7" s="14"/>
      <c r="W7" s="4"/>
      <c r="X7" s="4"/>
      <c r="Y7" s="4"/>
      <c r="Z7" s="4"/>
      <c r="AA7" s="4"/>
    </row>
    <row r="8" spans="1:27" ht="14.4">
      <c r="A8" s="13"/>
      <c r="B8" s="4"/>
      <c r="C8" s="4"/>
      <c r="D8" s="4"/>
      <c r="E8" s="14" t="s">
        <v>426</v>
      </c>
      <c r="F8" s="14"/>
      <c r="G8" s="14"/>
      <c r="H8" s="14"/>
      <c r="I8" s="14"/>
      <c r="J8" s="14"/>
      <c r="K8" s="14"/>
      <c r="L8" s="14"/>
      <c r="M8" s="14"/>
      <c r="N8" s="14"/>
      <c r="O8" s="14"/>
      <c r="P8" s="14"/>
      <c r="Q8" s="14"/>
      <c r="R8" s="14"/>
      <c r="S8" s="14"/>
      <c r="T8" s="14"/>
      <c r="U8" s="14"/>
      <c r="V8" s="14"/>
      <c r="W8" s="4"/>
      <c r="X8" s="4"/>
      <c r="Y8" s="4"/>
      <c r="Z8" s="4"/>
      <c r="AA8" s="4"/>
    </row>
    <row r="9" spans="1:27" ht="14.4">
      <c r="A9" s="13"/>
      <c r="B9" s="4"/>
      <c r="C9" s="4"/>
      <c r="D9" s="4"/>
      <c r="E9" s="14" t="s">
        <v>427</v>
      </c>
      <c r="F9" s="14"/>
      <c r="G9" s="14"/>
      <c r="H9" s="14"/>
      <c r="I9" s="14"/>
      <c r="J9" s="14"/>
      <c r="K9" s="14"/>
      <c r="L9" s="14"/>
      <c r="M9" s="14"/>
      <c r="N9" s="14"/>
      <c r="O9" s="14"/>
      <c r="P9" s="14"/>
      <c r="Q9" s="14"/>
      <c r="R9" s="14"/>
      <c r="S9" s="14"/>
      <c r="T9" s="14"/>
      <c r="U9" s="14"/>
      <c r="V9" s="14"/>
      <c r="W9" s="4"/>
      <c r="X9" s="4"/>
      <c r="Y9" s="4"/>
      <c r="Z9" s="4"/>
      <c r="AA9" s="4"/>
    </row>
    <row r="10" spans="1:27" ht="14.4">
      <c r="A10" s="15" t="s">
        <v>232</v>
      </c>
      <c r="B10" s="4"/>
      <c r="C10" s="4"/>
      <c r="D10" s="4"/>
      <c r="E10" s="14" t="s">
        <v>233</v>
      </c>
      <c r="F10" s="14"/>
      <c r="G10" s="14"/>
      <c r="H10" s="14"/>
      <c r="I10" s="14"/>
      <c r="J10" s="14"/>
      <c r="K10" s="14"/>
      <c r="L10" s="14"/>
      <c r="M10" s="14"/>
      <c r="N10" s="14"/>
      <c r="O10" s="14"/>
      <c r="P10" s="14"/>
      <c r="Q10" s="14"/>
      <c r="R10" s="14"/>
      <c r="S10" s="14"/>
      <c r="T10" s="14"/>
      <c r="U10" s="14"/>
      <c r="V10" s="14"/>
      <c r="W10" s="4"/>
      <c r="X10" s="4"/>
      <c r="Y10" s="4"/>
      <c r="Z10" s="4"/>
      <c r="AA10" s="4"/>
    </row>
    <row r="11" spans="1:27" ht="14.4">
      <c r="A11" s="13" t="s">
        <v>295</v>
      </c>
      <c r="B11" s="16"/>
      <c r="C11" s="16"/>
      <c r="D11" s="16"/>
      <c r="E11" s="16" t="s">
        <v>296</v>
      </c>
      <c r="F11" s="16"/>
      <c r="G11" s="16"/>
      <c r="H11" s="16"/>
      <c r="I11" s="16"/>
      <c r="J11" s="16"/>
      <c r="K11" s="16"/>
      <c r="L11" s="16"/>
      <c r="M11" s="16"/>
      <c r="N11" s="16"/>
      <c r="O11" s="16"/>
      <c r="P11" s="16"/>
      <c r="Q11" s="16"/>
      <c r="R11" s="16"/>
      <c r="S11" s="16"/>
      <c r="T11" s="17"/>
      <c r="U11" s="17"/>
      <c r="V11" s="17"/>
      <c r="W11" s="17"/>
      <c r="X11" s="17"/>
      <c r="Y11" s="17"/>
      <c r="Z11" s="17"/>
      <c r="AA11" s="4"/>
    </row>
    <row r="12" spans="1:27" ht="14.4">
      <c r="A12" s="13" t="s">
        <v>297</v>
      </c>
      <c r="B12" s="16"/>
      <c r="C12" s="16"/>
      <c r="D12" s="16"/>
      <c r="E12" s="16" t="s">
        <v>298</v>
      </c>
      <c r="F12" s="16"/>
      <c r="G12" s="16"/>
      <c r="H12" s="16"/>
      <c r="I12" s="16"/>
      <c r="J12" s="16"/>
      <c r="K12" s="16"/>
      <c r="L12" s="16"/>
      <c r="M12" s="16"/>
      <c r="N12" s="16"/>
      <c r="O12" s="16"/>
      <c r="P12" s="16"/>
      <c r="Q12" s="16"/>
      <c r="R12" s="16"/>
      <c r="S12" s="16"/>
      <c r="T12" s="17"/>
      <c r="U12" s="17"/>
      <c r="V12" s="17"/>
      <c r="W12" s="17"/>
      <c r="X12" s="17"/>
      <c r="Y12" s="17"/>
      <c r="Z12" s="17"/>
      <c r="AA12" s="4"/>
    </row>
    <row r="13" spans="1:27" ht="14.4">
      <c r="A13" s="13"/>
      <c r="B13" s="16"/>
      <c r="C13" s="16"/>
      <c r="D13" s="16"/>
      <c r="E13" s="16"/>
      <c r="F13" s="16"/>
      <c r="G13" s="16"/>
      <c r="H13" s="16"/>
      <c r="I13" s="16"/>
      <c r="J13" s="16"/>
      <c r="K13" s="16"/>
      <c r="L13" s="16"/>
      <c r="M13" s="16"/>
      <c r="N13" s="16"/>
      <c r="O13" s="16"/>
      <c r="P13" s="16"/>
      <c r="Q13" s="16"/>
      <c r="R13" s="16"/>
      <c r="S13" s="16"/>
      <c r="T13" s="17"/>
      <c r="U13" s="17"/>
      <c r="V13" s="17"/>
      <c r="W13" s="17"/>
      <c r="X13" s="17"/>
      <c r="Y13" s="17"/>
      <c r="Z13" s="17"/>
      <c r="AA13" s="4"/>
    </row>
    <row r="14" spans="1:27" ht="14.4">
      <c r="A14" s="13"/>
      <c r="B14" s="16"/>
      <c r="C14" s="16"/>
      <c r="D14" s="16"/>
      <c r="E14" s="16"/>
      <c r="F14" s="16"/>
      <c r="G14" s="16"/>
      <c r="H14" s="16"/>
      <c r="I14" s="16"/>
      <c r="J14" s="16"/>
      <c r="K14" s="16"/>
      <c r="L14" s="16"/>
      <c r="M14" s="16"/>
      <c r="N14" s="16"/>
      <c r="O14" s="16"/>
      <c r="P14" s="16"/>
      <c r="Q14" s="16"/>
      <c r="R14" s="16"/>
      <c r="S14" s="16"/>
      <c r="T14" s="17"/>
      <c r="U14" s="17"/>
      <c r="V14" s="17"/>
      <c r="W14" s="17"/>
      <c r="X14" s="17"/>
      <c r="Y14" s="17"/>
      <c r="Z14" s="17"/>
      <c r="AA14" s="4"/>
    </row>
    <row r="15" spans="1:27" ht="14.4">
      <c r="A15" s="19" t="s">
        <v>300</v>
      </c>
      <c r="B15" s="16"/>
      <c r="C15" s="16"/>
      <c r="D15" s="16"/>
      <c r="E15" s="16"/>
      <c r="F15" s="16"/>
      <c r="G15" s="16"/>
      <c r="H15" s="16"/>
      <c r="I15" s="16"/>
      <c r="J15" s="16"/>
      <c r="K15" s="16"/>
      <c r="L15" s="16"/>
      <c r="M15" s="16"/>
      <c r="N15" s="16"/>
      <c r="O15" s="16"/>
      <c r="P15" s="16"/>
      <c r="Q15" s="16"/>
      <c r="R15" s="16"/>
      <c r="S15" s="16"/>
      <c r="T15" s="17"/>
      <c r="U15" s="17"/>
      <c r="V15" s="17"/>
      <c r="W15" s="17"/>
      <c r="X15" s="17"/>
      <c r="Y15" s="17"/>
      <c r="Z15" s="17"/>
      <c r="AA15" s="4"/>
    </row>
    <row r="16" spans="1:27" ht="14.4">
      <c r="A16" s="13" t="s">
        <v>234</v>
      </c>
      <c r="B16" s="16"/>
      <c r="C16" s="16"/>
      <c r="D16" s="16"/>
      <c r="E16" s="16" t="s">
        <v>235</v>
      </c>
      <c r="F16" s="16"/>
      <c r="G16" s="16"/>
      <c r="H16" s="16"/>
      <c r="I16" s="16"/>
      <c r="J16" s="16"/>
      <c r="K16" s="16"/>
      <c r="L16" s="16"/>
      <c r="M16" s="16"/>
      <c r="N16" s="16"/>
      <c r="O16" s="16"/>
      <c r="P16" s="16"/>
      <c r="Q16" s="16"/>
      <c r="R16" s="16"/>
      <c r="S16" s="16"/>
      <c r="T16" s="17"/>
      <c r="U16" s="17"/>
      <c r="V16" s="17"/>
      <c r="W16" s="17"/>
      <c r="X16" s="17"/>
      <c r="Y16" s="17"/>
      <c r="Z16" s="17"/>
      <c r="AA16" s="4"/>
    </row>
    <row r="17" spans="1:28" ht="14.4">
      <c r="A17" s="13"/>
      <c r="B17" s="16"/>
      <c r="C17" s="16"/>
      <c r="D17" s="16"/>
      <c r="E17" s="16"/>
      <c r="F17" s="16"/>
      <c r="G17" s="16"/>
      <c r="H17" s="16"/>
      <c r="I17" s="16"/>
      <c r="J17" s="16"/>
      <c r="K17" s="16"/>
      <c r="L17" s="16"/>
      <c r="M17" s="16"/>
      <c r="N17" s="16"/>
      <c r="O17" s="16"/>
      <c r="P17" s="16"/>
      <c r="Q17" s="16"/>
      <c r="R17" s="16"/>
      <c r="S17" s="16"/>
      <c r="T17" s="17"/>
      <c r="U17" s="17"/>
      <c r="V17" s="17"/>
      <c r="W17" s="17"/>
      <c r="X17" s="17"/>
      <c r="Y17" s="17"/>
      <c r="Z17" s="17"/>
      <c r="AA17" s="4"/>
    </row>
    <row r="18" spans="1:28" ht="14.4">
      <c r="A18" s="19" t="s">
        <v>301</v>
      </c>
      <c r="B18" s="16"/>
      <c r="C18" s="16"/>
      <c r="D18" s="16"/>
      <c r="E18" s="16"/>
      <c r="F18" s="16"/>
      <c r="G18" s="16"/>
      <c r="H18" s="16"/>
      <c r="I18" s="16"/>
      <c r="J18" s="16"/>
      <c r="K18" s="16"/>
      <c r="L18" s="16"/>
      <c r="M18" s="16"/>
      <c r="N18" s="16"/>
      <c r="O18" s="16"/>
      <c r="P18" s="16"/>
      <c r="Q18" s="16"/>
      <c r="R18" s="16"/>
      <c r="S18" s="16"/>
      <c r="T18" s="17"/>
      <c r="U18" s="17"/>
      <c r="V18" s="17"/>
      <c r="W18" s="17"/>
      <c r="X18" s="17"/>
      <c r="Y18" s="17"/>
      <c r="Z18" s="17"/>
      <c r="AA18" s="4"/>
    </row>
    <row r="19" spans="1:28" ht="14.4">
      <c r="A19" s="13" t="s">
        <v>190</v>
      </c>
      <c r="B19" s="16"/>
      <c r="C19" s="16"/>
      <c r="D19" s="16"/>
      <c r="E19" s="16" t="s">
        <v>236</v>
      </c>
      <c r="F19" s="16"/>
      <c r="G19" s="16"/>
      <c r="H19" s="16"/>
      <c r="I19" s="16"/>
      <c r="J19" s="16"/>
      <c r="K19" s="16"/>
      <c r="L19" s="16"/>
      <c r="M19" s="16"/>
      <c r="N19" s="16"/>
      <c r="O19" s="16"/>
      <c r="P19" s="16"/>
      <c r="Q19" s="16"/>
      <c r="R19" s="16"/>
      <c r="S19" s="16"/>
      <c r="T19" s="17"/>
      <c r="U19" s="17"/>
      <c r="V19" s="17"/>
      <c r="W19" s="17"/>
      <c r="X19" s="17"/>
      <c r="Y19" s="17"/>
      <c r="Z19" s="17"/>
      <c r="AA19" s="4"/>
    </row>
    <row r="20" spans="1:28" ht="14.4">
      <c r="A20" s="13" t="s">
        <v>189</v>
      </c>
      <c r="B20" s="16"/>
      <c r="C20" s="16"/>
      <c r="D20" s="16"/>
      <c r="E20" s="16" t="s">
        <v>237</v>
      </c>
      <c r="F20" s="16"/>
      <c r="G20" s="16"/>
      <c r="H20" s="16"/>
      <c r="I20" s="16"/>
      <c r="J20" s="16"/>
      <c r="K20" s="16"/>
      <c r="L20" s="16"/>
      <c r="M20" s="16"/>
      <c r="N20" s="16"/>
      <c r="O20" s="16"/>
      <c r="P20" s="16"/>
      <c r="Q20" s="16"/>
      <c r="R20" s="16"/>
      <c r="S20" s="16"/>
      <c r="T20" s="17"/>
      <c r="U20" s="17"/>
      <c r="V20" s="17"/>
      <c r="W20" s="17"/>
      <c r="X20" s="17"/>
      <c r="Y20" s="17"/>
      <c r="Z20" s="17"/>
      <c r="AA20" s="4"/>
    </row>
    <row r="21" spans="1:28" ht="14.4">
      <c r="A21" s="13"/>
      <c r="B21" s="16"/>
      <c r="C21" s="16"/>
      <c r="D21" s="16"/>
      <c r="E21" s="16"/>
      <c r="F21" s="16"/>
      <c r="G21" s="16"/>
      <c r="H21" s="16"/>
      <c r="I21" s="16"/>
      <c r="J21" s="16"/>
      <c r="K21" s="16"/>
      <c r="L21" s="16"/>
      <c r="M21" s="16"/>
      <c r="N21" s="16"/>
      <c r="O21" s="16"/>
      <c r="P21" s="16"/>
      <c r="Q21" s="16"/>
      <c r="R21" s="16"/>
      <c r="S21" s="16"/>
      <c r="T21" s="17"/>
      <c r="U21" s="17"/>
      <c r="V21" s="17"/>
      <c r="W21" s="17"/>
      <c r="X21" s="17"/>
      <c r="Y21" s="17"/>
      <c r="Z21" s="17"/>
      <c r="AA21" s="4"/>
    </row>
    <row r="22" spans="1:28" ht="14.4">
      <c r="A22" s="13" t="s">
        <v>208</v>
      </c>
      <c r="B22" s="16"/>
      <c r="C22" s="16"/>
      <c r="D22" s="16"/>
      <c r="E22" s="16" t="s">
        <v>238</v>
      </c>
      <c r="F22" s="16"/>
      <c r="G22" s="16"/>
      <c r="H22" s="16"/>
      <c r="I22" s="16"/>
      <c r="J22" s="16"/>
      <c r="K22" s="16"/>
      <c r="L22" s="16"/>
      <c r="M22" s="16"/>
      <c r="N22" s="16"/>
      <c r="O22" s="16"/>
      <c r="P22" s="16"/>
      <c r="Q22" s="16"/>
      <c r="R22" s="16"/>
      <c r="S22" s="16"/>
      <c r="T22" s="17"/>
      <c r="U22" s="17"/>
      <c r="V22" s="17"/>
      <c r="W22" s="17"/>
      <c r="X22" s="17"/>
      <c r="Y22" s="17"/>
      <c r="Z22" s="17"/>
      <c r="AA22" s="4"/>
    </row>
    <row r="23" spans="1:28" ht="14.4">
      <c r="A23" s="13"/>
      <c r="B23" s="16"/>
      <c r="C23" s="16"/>
      <c r="D23" s="16"/>
      <c r="E23" s="16"/>
      <c r="F23" s="16"/>
      <c r="G23" s="16"/>
      <c r="H23" s="16"/>
      <c r="I23" s="16"/>
      <c r="J23" s="16"/>
      <c r="K23" s="16"/>
      <c r="L23" s="16"/>
      <c r="M23" s="16"/>
      <c r="N23" s="16"/>
      <c r="O23" s="16"/>
      <c r="P23" s="16"/>
      <c r="Q23" s="16"/>
      <c r="R23" s="16"/>
      <c r="S23" s="16"/>
      <c r="T23" s="17"/>
      <c r="U23" s="17"/>
      <c r="V23" s="17"/>
      <c r="W23" s="17"/>
      <c r="X23" s="17"/>
      <c r="Y23" s="17"/>
      <c r="Z23" s="17"/>
      <c r="AA23" s="4"/>
    </row>
    <row r="24" spans="1:28" ht="14.4">
      <c r="A24" s="19" t="s">
        <v>302</v>
      </c>
      <c r="B24" s="16"/>
      <c r="C24" s="16"/>
      <c r="D24" s="16"/>
      <c r="E24" s="16"/>
      <c r="F24" s="16"/>
      <c r="G24" s="16"/>
      <c r="H24" s="16"/>
      <c r="I24" s="16"/>
      <c r="J24" s="16"/>
      <c r="K24" s="16"/>
      <c r="L24" s="16"/>
      <c r="M24" s="16"/>
      <c r="N24" s="16"/>
      <c r="O24" s="16"/>
      <c r="P24" s="16"/>
      <c r="Q24" s="16"/>
      <c r="R24" s="16"/>
      <c r="S24" s="16"/>
      <c r="T24" s="17"/>
      <c r="U24" s="17"/>
      <c r="V24" s="17"/>
      <c r="W24" s="17"/>
      <c r="X24" s="17"/>
      <c r="Y24" s="17"/>
      <c r="Z24" s="17"/>
      <c r="AA24" s="4"/>
    </row>
    <row r="25" spans="1:28" ht="14.4">
      <c r="A25" s="13" t="s">
        <v>95</v>
      </c>
      <c r="B25" s="16"/>
      <c r="C25" s="16"/>
      <c r="D25" s="16"/>
      <c r="E25" s="16" t="s">
        <v>239</v>
      </c>
      <c r="F25" s="16"/>
      <c r="G25" s="16"/>
      <c r="H25" s="16"/>
      <c r="I25" s="16"/>
      <c r="J25" s="16"/>
      <c r="K25" s="16"/>
      <c r="L25" s="16"/>
      <c r="M25" s="16"/>
      <c r="N25" s="16"/>
      <c r="O25" s="16"/>
      <c r="P25" s="16"/>
      <c r="Q25" s="16"/>
      <c r="R25" s="16"/>
      <c r="S25" s="16"/>
      <c r="T25" s="17"/>
      <c r="U25" s="17"/>
      <c r="V25" s="17"/>
      <c r="W25" s="17"/>
      <c r="X25" s="17"/>
      <c r="Y25" s="17"/>
      <c r="Z25" s="17"/>
      <c r="AA25" s="4"/>
    </row>
    <row r="26" spans="1:28" ht="14.4">
      <c r="A26" s="13"/>
      <c r="B26" s="16"/>
      <c r="C26" s="16"/>
      <c r="D26" s="16"/>
      <c r="E26" s="16"/>
      <c r="F26" s="16"/>
      <c r="G26" s="16"/>
      <c r="H26" s="16"/>
      <c r="I26" s="16"/>
      <c r="J26" s="16"/>
      <c r="K26" s="16"/>
      <c r="L26" s="16"/>
      <c r="M26" s="16"/>
      <c r="N26" s="16"/>
      <c r="O26" s="16"/>
      <c r="P26" s="16"/>
      <c r="Q26" s="16"/>
      <c r="R26" s="16"/>
      <c r="S26" s="16"/>
      <c r="T26" s="17"/>
      <c r="U26" s="17"/>
      <c r="V26" s="17"/>
      <c r="W26" s="17"/>
      <c r="X26" s="17"/>
      <c r="Y26" s="17"/>
      <c r="Z26" s="17"/>
      <c r="AA26" s="4"/>
    </row>
    <row r="27" spans="1:28" ht="14.4">
      <c r="A27" s="13" t="s">
        <v>240</v>
      </c>
      <c r="B27" s="16"/>
      <c r="C27" s="16"/>
      <c r="D27" s="16"/>
      <c r="E27" s="16" t="s">
        <v>241</v>
      </c>
      <c r="F27" s="16"/>
      <c r="G27" s="16"/>
      <c r="H27" s="16"/>
      <c r="I27" s="16"/>
      <c r="J27" s="16"/>
      <c r="K27" s="16"/>
      <c r="L27" s="16"/>
      <c r="M27" s="16"/>
      <c r="N27" s="16"/>
      <c r="O27" s="16"/>
      <c r="P27" s="16"/>
      <c r="Q27" s="16"/>
      <c r="R27" s="16"/>
      <c r="S27" s="16"/>
      <c r="T27" s="17"/>
      <c r="U27" s="17"/>
      <c r="V27" s="17"/>
      <c r="W27" s="17"/>
      <c r="X27" s="17"/>
      <c r="Y27" s="17"/>
      <c r="Z27" s="17"/>
      <c r="AA27" s="4"/>
    </row>
    <row r="28" spans="1:28" ht="14.4">
      <c r="A28" s="13"/>
      <c r="B28" s="16"/>
      <c r="C28" s="16"/>
      <c r="D28" s="16"/>
      <c r="E28" s="16"/>
      <c r="F28" s="16"/>
      <c r="G28" s="16"/>
      <c r="H28" s="16"/>
      <c r="I28" s="16"/>
      <c r="J28" s="16"/>
      <c r="K28" s="16"/>
      <c r="L28" s="16"/>
      <c r="M28" s="16"/>
      <c r="N28" s="16"/>
      <c r="O28" s="16"/>
      <c r="P28" s="16"/>
      <c r="Q28" s="16"/>
      <c r="R28" s="16"/>
      <c r="S28" s="16"/>
      <c r="T28" s="4"/>
      <c r="U28" s="4"/>
      <c r="V28" s="4"/>
      <c r="W28" s="4"/>
      <c r="X28" s="4"/>
      <c r="Y28" s="4"/>
    </row>
    <row r="29" spans="1:28" ht="18">
      <c r="A29" s="12" t="s">
        <v>242</v>
      </c>
      <c r="B29" s="17"/>
      <c r="C29" s="17"/>
      <c r="D29" s="17"/>
      <c r="E29" s="17"/>
      <c r="F29" s="17"/>
      <c r="G29" s="17"/>
      <c r="H29" s="17"/>
      <c r="I29" s="17"/>
      <c r="J29" s="17"/>
      <c r="K29" s="17"/>
      <c r="L29" s="17"/>
      <c r="M29" s="17"/>
      <c r="N29" s="17"/>
      <c r="O29" s="17"/>
      <c r="P29" s="17"/>
      <c r="Q29" s="17"/>
      <c r="R29" s="17"/>
      <c r="S29" s="17"/>
      <c r="T29" s="4"/>
      <c r="U29" s="4"/>
      <c r="V29" s="4"/>
      <c r="W29" s="4"/>
      <c r="X29" s="4"/>
      <c r="Y29" s="4"/>
    </row>
    <row r="30" spans="1:28" ht="13.8">
      <c r="A30" s="17"/>
      <c r="B30" s="17"/>
      <c r="C30" s="17"/>
      <c r="D30" s="17"/>
      <c r="E30" s="17"/>
      <c r="F30" s="17"/>
      <c r="G30" s="17"/>
      <c r="H30" s="17"/>
      <c r="I30" s="17"/>
      <c r="J30" s="17"/>
      <c r="K30" s="17"/>
      <c r="L30" s="17"/>
      <c r="M30" s="17"/>
      <c r="N30" s="17"/>
      <c r="O30" s="17"/>
      <c r="P30" s="17"/>
      <c r="Q30" s="17"/>
      <c r="R30" s="17"/>
      <c r="S30" s="17"/>
      <c r="T30" s="4"/>
      <c r="U30" s="4"/>
      <c r="V30" s="4"/>
      <c r="W30" s="4"/>
      <c r="X30" s="4"/>
      <c r="Y30" s="4"/>
    </row>
    <row r="31" spans="1:28" ht="14.4">
      <c r="A31" s="13" t="s">
        <v>243</v>
      </c>
      <c r="B31" s="17"/>
      <c r="C31" s="17"/>
      <c r="D31" s="17"/>
      <c r="E31" s="16" t="s">
        <v>244</v>
      </c>
      <c r="F31" s="16"/>
      <c r="G31" s="16"/>
      <c r="H31" s="16"/>
      <c r="I31" s="16"/>
      <c r="J31" s="16"/>
      <c r="K31" s="16"/>
      <c r="L31" s="16"/>
      <c r="M31" s="16"/>
      <c r="N31" s="16"/>
      <c r="O31" s="16"/>
      <c r="P31" s="16"/>
      <c r="Q31" s="16"/>
      <c r="R31" s="16"/>
      <c r="S31" s="16"/>
      <c r="T31" s="18"/>
      <c r="U31" s="4"/>
      <c r="V31" s="4"/>
      <c r="W31" s="4"/>
      <c r="X31" s="4"/>
      <c r="Y31" s="4"/>
      <c r="Z31" s="4"/>
      <c r="AA31" s="4"/>
      <c r="AB31" s="4"/>
    </row>
    <row r="32" spans="1:28" ht="14.4">
      <c r="A32" s="13" t="s">
        <v>245</v>
      </c>
      <c r="B32" s="17"/>
      <c r="C32" s="17"/>
      <c r="D32" s="17"/>
      <c r="E32" s="16" t="s">
        <v>246</v>
      </c>
      <c r="F32" s="16"/>
      <c r="G32" s="16"/>
      <c r="H32" s="16"/>
      <c r="I32" s="16"/>
      <c r="J32" s="16"/>
      <c r="K32" s="16"/>
      <c r="L32" s="16"/>
      <c r="M32" s="16"/>
      <c r="N32" s="16"/>
      <c r="O32" s="16"/>
      <c r="P32" s="16"/>
      <c r="Q32" s="16"/>
      <c r="R32" s="16"/>
      <c r="S32" s="16"/>
      <c r="T32" s="18"/>
      <c r="U32" s="4"/>
      <c r="V32" s="4"/>
      <c r="W32" s="4"/>
      <c r="X32" s="4"/>
      <c r="Y32" s="4"/>
      <c r="Z32" s="4"/>
      <c r="AA32" s="4"/>
      <c r="AB32" s="4"/>
    </row>
    <row r="33" spans="1:28" ht="14.4">
      <c r="A33" s="13" t="s">
        <v>247</v>
      </c>
      <c r="B33" s="17"/>
      <c r="C33" s="17"/>
      <c r="D33" s="17"/>
      <c r="E33" s="16" t="s">
        <v>310</v>
      </c>
      <c r="F33" s="16"/>
      <c r="G33" s="16"/>
      <c r="H33" s="16"/>
      <c r="I33" s="16"/>
      <c r="J33" s="16"/>
      <c r="K33" s="16"/>
      <c r="L33" s="16"/>
      <c r="M33" s="16"/>
      <c r="N33" s="16"/>
      <c r="O33" s="16"/>
      <c r="P33" s="16"/>
      <c r="Q33" s="16"/>
      <c r="R33" s="16"/>
      <c r="S33" s="16"/>
      <c r="T33" s="18"/>
      <c r="U33" s="4"/>
      <c r="V33" s="4"/>
      <c r="W33" s="4"/>
      <c r="X33" s="4"/>
      <c r="Y33" s="4"/>
      <c r="Z33" s="4"/>
      <c r="AA33" s="4"/>
      <c r="AB33" s="4"/>
    </row>
    <row r="34" spans="1:28" ht="14.4">
      <c r="A34" s="13" t="s">
        <v>248</v>
      </c>
      <c r="B34" s="17"/>
      <c r="C34" s="17"/>
      <c r="D34" s="17"/>
      <c r="E34" s="16" t="s">
        <v>415</v>
      </c>
      <c r="F34" s="16"/>
      <c r="G34" s="16"/>
      <c r="H34" s="16"/>
      <c r="I34" s="16"/>
      <c r="J34" s="16"/>
      <c r="K34" s="16"/>
      <c r="L34" s="16"/>
      <c r="M34" s="16"/>
      <c r="N34" s="16"/>
      <c r="O34" s="16"/>
      <c r="P34" s="16"/>
      <c r="Q34" s="16"/>
      <c r="R34" s="16"/>
      <c r="S34" s="16"/>
      <c r="T34" s="18"/>
      <c r="U34" s="4"/>
      <c r="V34" s="4"/>
      <c r="W34" s="4"/>
      <c r="X34" s="4"/>
      <c r="Y34" s="4"/>
      <c r="Z34" s="4"/>
      <c r="AA34" s="4"/>
      <c r="AB34" s="4"/>
    </row>
    <row r="35" spans="1:28" ht="14.4">
      <c r="A35" s="13" t="s">
        <v>416</v>
      </c>
      <c r="B35" s="17"/>
      <c r="C35" s="17"/>
      <c r="D35" s="17"/>
      <c r="E35" s="16" t="s">
        <v>417</v>
      </c>
      <c r="F35" s="16"/>
      <c r="G35" s="16"/>
      <c r="H35" s="16"/>
      <c r="I35" s="16"/>
      <c r="J35" s="16"/>
      <c r="K35" s="16"/>
      <c r="L35" s="16"/>
      <c r="M35" s="16"/>
      <c r="N35" s="16"/>
      <c r="O35" s="16"/>
      <c r="P35" s="16"/>
      <c r="Q35" s="16"/>
      <c r="R35" s="16"/>
      <c r="S35" s="16"/>
      <c r="T35" s="16"/>
      <c r="U35" s="16"/>
      <c r="V35" s="16"/>
      <c r="W35" s="16"/>
      <c r="X35" s="4"/>
      <c r="Y35" s="4"/>
      <c r="Z35" s="4"/>
      <c r="AA35" s="4"/>
      <c r="AB35" s="4"/>
    </row>
    <row r="36" spans="1:28" ht="14.4">
      <c r="A36" s="4"/>
      <c r="B36" s="16"/>
      <c r="C36" s="16"/>
      <c r="D36" s="16"/>
      <c r="E36" s="16"/>
      <c r="F36" s="16"/>
      <c r="G36" s="16"/>
      <c r="H36" s="16"/>
      <c r="I36" s="16"/>
      <c r="J36" s="16"/>
      <c r="K36" s="16"/>
      <c r="L36" s="16"/>
      <c r="M36" s="16"/>
      <c r="N36" s="16"/>
      <c r="O36" s="16"/>
      <c r="P36" s="16"/>
      <c r="Q36" s="16"/>
      <c r="R36" s="17"/>
      <c r="S36" s="17"/>
      <c r="T36" s="4"/>
      <c r="U36" s="4"/>
      <c r="V36" s="4"/>
      <c r="W36" s="4"/>
      <c r="X36" s="4"/>
      <c r="Y36" s="4"/>
      <c r="Z36" s="4"/>
      <c r="AA36" s="4"/>
      <c r="AB36" s="4"/>
    </row>
    <row r="37" spans="1:28" ht="14.4">
      <c r="A37" s="19" t="s">
        <v>249</v>
      </c>
      <c r="B37" s="4"/>
      <c r="C37" s="4"/>
      <c r="D37" s="4"/>
      <c r="E37" s="4"/>
      <c r="F37" s="4"/>
      <c r="G37" s="4"/>
      <c r="H37" s="4"/>
      <c r="I37" s="4"/>
      <c r="J37" s="4"/>
      <c r="K37" s="4"/>
      <c r="L37" s="4"/>
      <c r="M37" s="4"/>
      <c r="N37" s="4"/>
      <c r="O37" s="4"/>
      <c r="P37" s="4"/>
      <c r="Q37" s="4"/>
      <c r="R37" s="17"/>
      <c r="S37" s="17"/>
      <c r="T37" s="4"/>
      <c r="U37" s="4"/>
      <c r="V37" s="4"/>
      <c r="W37" s="4"/>
      <c r="X37" s="4"/>
      <c r="Y37" s="4"/>
      <c r="Z37" s="4"/>
      <c r="AA37" s="4"/>
      <c r="AB37" s="4"/>
    </row>
    <row r="38" spans="1:28" ht="14.4">
      <c r="A38" s="13" t="s">
        <v>250</v>
      </c>
      <c r="B38" s="4"/>
      <c r="C38" s="4"/>
      <c r="D38" s="4"/>
      <c r="E38" s="16" t="s">
        <v>303</v>
      </c>
      <c r="F38" s="4"/>
      <c r="G38" s="4"/>
      <c r="H38" s="4"/>
      <c r="I38" s="4"/>
      <c r="J38" s="4"/>
      <c r="K38" s="4"/>
      <c r="L38" s="4"/>
      <c r="M38" s="4"/>
      <c r="N38" s="4"/>
      <c r="O38" s="4"/>
      <c r="P38" s="4"/>
      <c r="Q38" s="4"/>
      <c r="R38" s="17"/>
      <c r="S38" s="17"/>
      <c r="T38" s="4"/>
      <c r="U38" s="4"/>
      <c r="V38" s="4"/>
      <c r="W38" s="4"/>
      <c r="X38" s="4"/>
      <c r="Y38" s="4"/>
      <c r="Z38" s="4"/>
      <c r="AA38" s="4"/>
      <c r="AB38" s="4"/>
    </row>
    <row r="39" spans="1:28" ht="14.4">
      <c r="A39" s="13" t="s">
        <v>221</v>
      </c>
      <c r="B39" s="4"/>
      <c r="C39" s="4"/>
      <c r="D39" s="4"/>
      <c r="E39" s="16" t="s">
        <v>251</v>
      </c>
      <c r="F39" s="4"/>
      <c r="G39" s="4"/>
      <c r="H39" s="4"/>
      <c r="I39" s="4"/>
      <c r="J39" s="4"/>
      <c r="K39" s="4"/>
      <c r="L39" s="4"/>
      <c r="M39" s="4"/>
      <c r="N39" s="4"/>
      <c r="O39" s="4"/>
      <c r="P39" s="4"/>
      <c r="Q39" s="4"/>
      <c r="R39" s="17"/>
      <c r="S39" s="17"/>
      <c r="T39" s="4"/>
      <c r="U39" s="4"/>
      <c r="V39" s="4"/>
      <c r="W39" s="4"/>
      <c r="X39" s="4"/>
      <c r="Y39" s="4"/>
      <c r="Z39" s="4"/>
      <c r="AA39" s="4"/>
      <c r="AB39" s="4"/>
    </row>
    <row r="40" spans="1:28" ht="14.4">
      <c r="A40" s="13" t="s">
        <v>195</v>
      </c>
      <c r="B40" s="4"/>
      <c r="C40" s="4"/>
      <c r="D40" s="4"/>
      <c r="E40" s="16" t="s">
        <v>304</v>
      </c>
      <c r="F40" s="4"/>
      <c r="G40" s="4"/>
      <c r="H40" s="4"/>
      <c r="I40" s="4"/>
      <c r="J40" s="4"/>
      <c r="K40" s="4"/>
      <c r="L40" s="4"/>
      <c r="M40" s="4"/>
      <c r="N40" s="4"/>
      <c r="O40" s="4"/>
      <c r="P40" s="4"/>
      <c r="Q40" s="4"/>
      <c r="R40" s="17"/>
      <c r="S40" s="17"/>
      <c r="T40" s="4"/>
      <c r="U40" s="4"/>
      <c r="V40" s="4"/>
      <c r="W40" s="4"/>
      <c r="X40" s="4"/>
      <c r="Y40" s="4"/>
      <c r="Z40" s="4"/>
      <c r="AA40" s="4"/>
      <c r="AB40" s="4"/>
    </row>
    <row r="41" spans="1:28" ht="14.4">
      <c r="A41" s="15" t="s">
        <v>30</v>
      </c>
      <c r="B41" s="16"/>
      <c r="C41" s="16"/>
      <c r="D41" s="16"/>
      <c r="E41" s="16" t="s">
        <v>252</v>
      </c>
      <c r="F41" s="16"/>
      <c r="G41" s="16"/>
      <c r="H41" s="16"/>
      <c r="I41" s="16"/>
      <c r="J41" s="16"/>
      <c r="K41" s="16"/>
      <c r="L41" s="16"/>
      <c r="M41" s="16"/>
      <c r="N41" s="16"/>
      <c r="O41" s="16"/>
      <c r="P41" s="16"/>
      <c r="Q41" s="16"/>
      <c r="R41" s="17"/>
      <c r="S41" s="17"/>
      <c r="T41" s="4"/>
      <c r="U41" s="4"/>
      <c r="V41" s="4"/>
      <c r="W41" s="4"/>
      <c r="X41" s="4"/>
      <c r="Y41" s="4"/>
      <c r="Z41" s="4"/>
      <c r="AA41" s="4"/>
      <c r="AB41" s="4"/>
    </row>
    <row r="42" spans="1:28" ht="14.4">
      <c r="A42" s="13" t="s">
        <v>253</v>
      </c>
      <c r="B42" s="16"/>
      <c r="C42" s="16"/>
      <c r="D42" s="16"/>
      <c r="E42" s="16" t="s">
        <v>254</v>
      </c>
      <c r="F42" s="16"/>
      <c r="G42" s="16"/>
      <c r="H42" s="16"/>
      <c r="I42" s="16"/>
      <c r="J42" s="16"/>
      <c r="K42" s="16"/>
      <c r="L42" s="16"/>
      <c r="M42" s="16"/>
      <c r="N42" s="16"/>
      <c r="O42" s="16"/>
      <c r="P42" s="16"/>
      <c r="Q42" s="16"/>
      <c r="R42" s="17"/>
      <c r="S42" s="17"/>
      <c r="T42" s="4"/>
      <c r="U42" s="4"/>
      <c r="V42" s="4"/>
      <c r="W42" s="4"/>
      <c r="X42" s="4"/>
      <c r="Y42" s="4"/>
      <c r="Z42" s="4"/>
      <c r="AA42" s="4"/>
      <c r="AB42" s="4"/>
    </row>
    <row r="43" spans="1:28" ht="14.4">
      <c r="A43" s="13" t="s">
        <v>255</v>
      </c>
      <c r="B43" s="16"/>
      <c r="C43" s="16"/>
      <c r="D43" s="16"/>
      <c r="E43" s="16" t="s">
        <v>256</v>
      </c>
      <c r="F43" s="16"/>
      <c r="G43" s="16"/>
      <c r="H43" s="16"/>
      <c r="I43" s="16"/>
      <c r="J43" s="16"/>
      <c r="K43" s="16"/>
      <c r="L43" s="16"/>
      <c r="M43" s="16"/>
      <c r="N43" s="16"/>
      <c r="O43" s="16"/>
      <c r="P43" s="16"/>
      <c r="Q43" s="16"/>
      <c r="R43" s="17"/>
      <c r="S43" s="17"/>
      <c r="T43" s="4"/>
      <c r="U43" s="4"/>
      <c r="V43" s="4"/>
      <c r="W43" s="4"/>
      <c r="X43" s="4"/>
      <c r="Y43" s="4"/>
      <c r="Z43" s="4"/>
      <c r="AA43" s="4"/>
      <c r="AB43" s="4"/>
    </row>
    <row r="44" spans="1:28" ht="14.4">
      <c r="A44" s="13" t="s">
        <v>219</v>
      </c>
      <c r="B44" s="16"/>
      <c r="C44" s="16"/>
      <c r="D44" s="16"/>
      <c r="E44" s="16" t="s">
        <v>257</v>
      </c>
      <c r="F44" s="16"/>
      <c r="G44" s="16"/>
      <c r="H44" s="16"/>
      <c r="I44" s="16"/>
      <c r="J44" s="16"/>
      <c r="K44" s="16"/>
      <c r="L44" s="16"/>
      <c r="M44" s="16"/>
      <c r="N44" s="16"/>
      <c r="O44" s="16"/>
      <c r="P44" s="16"/>
      <c r="Q44" s="16"/>
      <c r="R44" s="17"/>
      <c r="S44" s="17"/>
      <c r="T44" s="4"/>
      <c r="U44" s="4"/>
      <c r="V44" s="4"/>
      <c r="W44" s="4"/>
      <c r="X44" s="4"/>
      <c r="Y44" s="4"/>
      <c r="Z44" s="4"/>
      <c r="AA44" s="4"/>
      <c r="AB44" s="4"/>
    </row>
    <row r="45" spans="1:28" ht="14.4">
      <c r="A45" s="13" t="s">
        <v>305</v>
      </c>
      <c r="B45" s="16"/>
      <c r="C45" s="16"/>
      <c r="D45" s="16"/>
      <c r="E45" s="16" t="s">
        <v>315</v>
      </c>
      <c r="F45" s="16"/>
      <c r="G45" s="16"/>
      <c r="H45" s="16"/>
      <c r="I45" s="16"/>
      <c r="J45" s="16"/>
      <c r="K45" s="16"/>
      <c r="L45" s="16"/>
      <c r="M45" s="16"/>
      <c r="N45" s="16"/>
      <c r="O45" s="16"/>
      <c r="P45" s="16"/>
      <c r="Q45" s="16"/>
      <c r="R45" s="17"/>
      <c r="S45" s="17"/>
      <c r="T45" s="4"/>
      <c r="U45" s="4"/>
      <c r="V45" s="4"/>
      <c r="W45" s="4"/>
      <c r="X45" s="4"/>
      <c r="Y45" s="4"/>
      <c r="Z45" s="4"/>
      <c r="AA45" s="4"/>
      <c r="AB45" s="4"/>
    </row>
    <row r="46" spans="1:28" ht="13.8">
      <c r="A46" s="4"/>
      <c r="B46" s="4"/>
      <c r="C46" s="4"/>
      <c r="D46" s="4"/>
      <c r="E46" s="4"/>
      <c r="F46" s="4"/>
      <c r="G46" s="4"/>
      <c r="H46" s="4"/>
      <c r="I46" s="4"/>
      <c r="J46" s="8"/>
      <c r="K46" s="4"/>
      <c r="L46" s="4"/>
      <c r="M46" s="4"/>
      <c r="N46" s="4"/>
      <c r="O46" s="4"/>
      <c r="P46" s="4"/>
      <c r="Q46" s="4"/>
      <c r="R46" s="17"/>
      <c r="S46" s="17"/>
      <c r="T46" s="4"/>
      <c r="U46" s="4"/>
      <c r="V46" s="4"/>
      <c r="W46" s="4"/>
      <c r="X46" s="4"/>
      <c r="Y46" s="4"/>
      <c r="Z46" s="4"/>
      <c r="AA46" s="4"/>
      <c r="AB46" s="4"/>
    </row>
    <row r="47" spans="1:28" ht="14.4">
      <c r="A47" s="19" t="s">
        <v>31</v>
      </c>
      <c r="B47" s="16"/>
      <c r="C47" s="16"/>
      <c r="D47" s="16"/>
      <c r="E47" s="16"/>
      <c r="F47" s="16"/>
      <c r="G47" s="16"/>
      <c r="H47" s="16"/>
      <c r="I47" s="16"/>
      <c r="J47" s="16"/>
      <c r="K47" s="16"/>
      <c r="L47" s="16"/>
      <c r="M47" s="16"/>
      <c r="N47" s="16"/>
      <c r="O47" s="16"/>
      <c r="P47" s="16"/>
      <c r="Q47" s="16"/>
      <c r="R47" s="17"/>
      <c r="S47" s="17"/>
      <c r="T47" s="4"/>
      <c r="U47" s="4"/>
      <c r="V47" s="4"/>
      <c r="W47" s="4"/>
      <c r="X47" s="4"/>
      <c r="Y47" s="4"/>
      <c r="Z47" s="4"/>
      <c r="AA47" s="4"/>
      <c r="AB47" s="4"/>
    </row>
    <row r="48" spans="1:28" ht="14.4">
      <c r="A48" s="13" t="s">
        <v>321</v>
      </c>
      <c r="B48" s="16"/>
      <c r="C48" s="16"/>
      <c r="D48" s="16"/>
      <c r="E48" s="16" t="s">
        <v>322</v>
      </c>
      <c r="F48" s="16"/>
      <c r="G48" s="16"/>
      <c r="H48" s="16"/>
      <c r="I48" s="16"/>
      <c r="J48" s="16"/>
      <c r="K48" s="16"/>
      <c r="L48" s="16"/>
      <c r="M48" s="16"/>
      <c r="N48" s="16"/>
      <c r="O48" s="16"/>
      <c r="P48" s="16"/>
      <c r="Q48" s="16"/>
      <c r="R48" s="17"/>
      <c r="S48" s="17"/>
      <c r="T48" s="4"/>
      <c r="U48" s="4"/>
      <c r="V48" s="4"/>
      <c r="W48" s="4"/>
      <c r="X48" s="4"/>
      <c r="Y48" s="4"/>
      <c r="Z48" s="4"/>
      <c r="AA48" s="4"/>
      <c r="AB48" s="4"/>
    </row>
    <row r="49" spans="1:28" ht="14.4">
      <c r="A49" s="13" t="s">
        <v>258</v>
      </c>
      <c r="B49" s="16"/>
      <c r="C49" s="16"/>
      <c r="D49" s="16"/>
      <c r="E49" s="16" t="s">
        <v>259</v>
      </c>
      <c r="F49" s="16"/>
      <c r="G49" s="16"/>
      <c r="H49" s="16"/>
      <c r="I49" s="16"/>
      <c r="J49" s="16"/>
      <c r="K49" s="16"/>
      <c r="L49" s="16"/>
      <c r="M49" s="16"/>
      <c r="N49" s="16"/>
      <c r="O49" s="16"/>
      <c r="P49" s="16"/>
      <c r="Q49" s="16"/>
      <c r="R49" s="17"/>
      <c r="S49" s="17"/>
      <c r="T49" s="4"/>
      <c r="U49" s="4"/>
      <c r="V49" s="4"/>
      <c r="W49" s="4"/>
      <c r="X49" s="4"/>
      <c r="Y49" s="4"/>
      <c r="Z49" s="4"/>
      <c r="AA49" s="4"/>
      <c r="AB49" s="4"/>
    </row>
    <row r="50" spans="1:28" ht="14.4">
      <c r="A50" s="13" t="s">
        <v>260</v>
      </c>
      <c r="B50" s="16"/>
      <c r="C50" s="16"/>
      <c r="D50" s="16"/>
      <c r="E50" s="16" t="s">
        <v>261</v>
      </c>
      <c r="F50" s="16"/>
      <c r="G50" s="16"/>
      <c r="H50" s="16"/>
      <c r="I50" s="16"/>
      <c r="J50" s="16"/>
      <c r="K50" s="16"/>
      <c r="L50" s="16"/>
      <c r="M50" s="16"/>
      <c r="N50" s="16"/>
      <c r="O50" s="16"/>
      <c r="P50" s="16"/>
      <c r="Q50" s="16"/>
      <c r="R50" s="17"/>
      <c r="S50" s="17"/>
      <c r="T50" s="4"/>
      <c r="U50" s="4"/>
      <c r="V50" s="4"/>
      <c r="W50" s="4"/>
      <c r="X50" s="4"/>
      <c r="Y50" s="4"/>
      <c r="Z50" s="4"/>
      <c r="AA50" s="4"/>
      <c r="AB50" s="4"/>
    </row>
    <row r="51" spans="1:28" s="4" customFormat="1" ht="14.4">
      <c r="A51" s="13" t="s">
        <v>323</v>
      </c>
      <c r="B51" s="16"/>
      <c r="C51" s="16"/>
      <c r="D51" s="16"/>
      <c r="E51" s="16" t="s">
        <v>324</v>
      </c>
      <c r="F51" s="16"/>
      <c r="G51" s="16"/>
      <c r="H51" s="16"/>
      <c r="I51" s="16"/>
      <c r="J51" s="16"/>
      <c r="K51" s="16"/>
      <c r="L51" s="16"/>
      <c r="M51" s="16"/>
      <c r="N51" s="16"/>
      <c r="O51" s="16"/>
      <c r="P51" s="16"/>
      <c r="Q51" s="16"/>
      <c r="R51" s="17"/>
      <c r="S51" s="17"/>
    </row>
    <row r="52" spans="1:28" s="4" customFormat="1" ht="14.4">
      <c r="A52" s="13" t="s">
        <v>325</v>
      </c>
      <c r="B52" s="16"/>
      <c r="C52" s="16"/>
      <c r="D52" s="16"/>
      <c r="E52" s="16" t="s">
        <v>326</v>
      </c>
      <c r="F52" s="16"/>
      <c r="G52" s="16"/>
      <c r="H52" s="16"/>
      <c r="I52" s="16"/>
      <c r="J52" s="16"/>
      <c r="K52" s="16"/>
      <c r="L52" s="16"/>
      <c r="M52" s="16"/>
      <c r="N52" s="16"/>
      <c r="O52" s="16"/>
      <c r="P52" s="16"/>
      <c r="Q52" s="16"/>
      <c r="R52" s="17"/>
      <c r="S52" s="17"/>
    </row>
    <row r="53" spans="1:28" ht="14.4">
      <c r="A53" s="13" t="s">
        <v>316</v>
      </c>
      <c r="B53" s="16"/>
      <c r="C53" s="16"/>
      <c r="D53" s="16"/>
      <c r="E53" s="16" t="s">
        <v>306</v>
      </c>
      <c r="F53" s="16"/>
      <c r="G53" s="16"/>
      <c r="H53" s="16"/>
      <c r="I53" s="16"/>
      <c r="J53" s="16"/>
      <c r="K53" s="16"/>
      <c r="L53" s="16"/>
      <c r="M53" s="16"/>
      <c r="N53" s="16"/>
      <c r="O53" s="16"/>
      <c r="P53" s="16"/>
      <c r="Q53" s="16"/>
      <c r="R53" s="17"/>
      <c r="S53" s="17"/>
      <c r="T53" s="4"/>
      <c r="U53" s="4"/>
      <c r="V53" s="4"/>
      <c r="W53" s="4"/>
      <c r="X53" s="4"/>
      <c r="Y53" s="4"/>
      <c r="Z53" s="4"/>
      <c r="AA53" s="4"/>
      <c r="AB53" s="4"/>
    </row>
    <row r="54" spans="1:28" ht="14.4">
      <c r="A54" s="13" t="s">
        <v>33</v>
      </c>
      <c r="B54" s="16"/>
      <c r="C54" s="16"/>
      <c r="D54" s="16"/>
      <c r="E54" s="16" t="s">
        <v>307</v>
      </c>
      <c r="F54" s="16"/>
      <c r="G54" s="16"/>
      <c r="H54" s="16"/>
      <c r="I54" s="16"/>
      <c r="J54" s="16"/>
      <c r="K54" s="16"/>
      <c r="L54" s="16"/>
      <c r="M54" s="16"/>
      <c r="N54" s="16"/>
      <c r="O54" s="16"/>
      <c r="P54" s="16"/>
      <c r="Q54" s="16"/>
      <c r="R54" s="17"/>
      <c r="S54" s="17"/>
      <c r="T54" s="4"/>
      <c r="U54" s="4"/>
      <c r="V54" s="4"/>
      <c r="W54" s="4"/>
      <c r="X54" s="4"/>
      <c r="Y54" s="4"/>
      <c r="Z54" s="4"/>
      <c r="AA54" s="4"/>
      <c r="AB54" s="4"/>
    </row>
    <row r="55" spans="1:28" ht="14.4">
      <c r="A55" s="13" t="s">
        <v>317</v>
      </c>
      <c r="B55" s="16"/>
      <c r="C55" s="16"/>
      <c r="D55" s="16"/>
      <c r="E55" s="16" t="s">
        <v>308</v>
      </c>
      <c r="F55" s="16"/>
      <c r="G55" s="16"/>
      <c r="H55" s="16"/>
      <c r="I55" s="16"/>
      <c r="J55" s="16"/>
      <c r="K55" s="16"/>
      <c r="L55" s="16"/>
      <c r="M55" s="16"/>
      <c r="N55" s="16"/>
      <c r="O55" s="16"/>
      <c r="P55" s="16"/>
      <c r="Q55" s="16"/>
      <c r="R55" s="17"/>
      <c r="S55" s="17"/>
      <c r="T55" s="4"/>
      <c r="U55" s="4"/>
      <c r="V55" s="4"/>
      <c r="W55" s="4"/>
      <c r="X55" s="4"/>
      <c r="Y55" s="4"/>
      <c r="Z55" s="4"/>
      <c r="AA55" s="4"/>
      <c r="AB55" s="4"/>
    </row>
    <row r="56" spans="1:28" ht="14.4">
      <c r="A56" s="13" t="s">
        <v>309</v>
      </c>
      <c r="B56" s="16"/>
      <c r="C56" s="16"/>
      <c r="D56" s="16"/>
      <c r="E56" s="16" t="s">
        <v>318</v>
      </c>
      <c r="F56" s="16"/>
      <c r="G56" s="16"/>
      <c r="H56" s="16"/>
      <c r="I56" s="16"/>
      <c r="J56" s="16"/>
      <c r="K56" s="16"/>
      <c r="L56" s="16"/>
      <c r="M56" s="16"/>
      <c r="N56" s="16"/>
      <c r="O56" s="16"/>
      <c r="P56" s="16"/>
      <c r="Q56" s="16"/>
      <c r="R56" s="17"/>
      <c r="S56" s="17"/>
      <c r="T56" s="4"/>
      <c r="U56" s="4"/>
      <c r="V56" s="4"/>
      <c r="W56" s="4"/>
      <c r="X56" s="4"/>
      <c r="Y56" s="4"/>
      <c r="Z56" s="4"/>
      <c r="AA56" s="4"/>
      <c r="AB56" s="4"/>
    </row>
    <row r="57" spans="1:28" ht="14.4">
      <c r="A57" s="13"/>
      <c r="B57" s="16"/>
      <c r="C57" s="16"/>
      <c r="D57" s="16"/>
      <c r="E57" s="4"/>
      <c r="F57" s="16"/>
      <c r="G57" s="16"/>
      <c r="H57" s="16"/>
      <c r="I57" s="16"/>
      <c r="J57" s="16"/>
      <c r="K57" s="16"/>
      <c r="L57" s="16"/>
      <c r="M57" s="16"/>
      <c r="N57" s="16"/>
      <c r="O57" s="16"/>
      <c r="P57" s="16"/>
      <c r="Q57" s="16"/>
      <c r="R57" s="17"/>
      <c r="S57" s="17"/>
      <c r="T57" s="4"/>
      <c r="U57" s="4"/>
      <c r="V57" s="4"/>
      <c r="W57" s="4"/>
      <c r="X57" s="4"/>
      <c r="Y57" s="4"/>
      <c r="Z57" s="4"/>
      <c r="AA57" s="4"/>
      <c r="AB57" s="4"/>
    </row>
    <row r="58" spans="1:28" ht="14.4">
      <c r="A58" s="19" t="s">
        <v>34</v>
      </c>
      <c r="B58" s="16"/>
      <c r="C58" s="16"/>
      <c r="D58" s="16"/>
      <c r="E58" s="16"/>
      <c r="F58" s="16"/>
      <c r="G58" s="16"/>
      <c r="H58" s="16"/>
      <c r="I58" s="16"/>
      <c r="J58" s="16"/>
      <c r="K58" s="16"/>
      <c r="L58" s="16"/>
      <c r="M58" s="16"/>
      <c r="N58" s="16"/>
      <c r="O58" s="16"/>
      <c r="P58" s="16"/>
      <c r="Q58" s="16"/>
      <c r="R58" s="17"/>
      <c r="S58" s="17"/>
      <c r="T58" s="4"/>
      <c r="U58" s="4"/>
      <c r="V58" s="4"/>
      <c r="W58" s="4"/>
      <c r="X58" s="4"/>
      <c r="Y58" s="4"/>
      <c r="Z58" s="4"/>
      <c r="AA58" s="4"/>
      <c r="AB58" s="4"/>
    </row>
    <row r="59" spans="1:28" ht="14.4">
      <c r="A59" s="13" t="s">
        <v>262</v>
      </c>
      <c r="B59" s="16"/>
      <c r="C59" s="16"/>
      <c r="D59" s="16"/>
      <c r="E59" s="16" t="s">
        <v>263</v>
      </c>
      <c r="F59" s="16"/>
      <c r="G59" s="16"/>
      <c r="H59" s="16"/>
      <c r="I59" s="16"/>
      <c r="J59" s="16"/>
      <c r="K59" s="16"/>
      <c r="L59" s="16"/>
      <c r="M59" s="16"/>
      <c r="N59" s="16"/>
      <c r="O59" s="16"/>
      <c r="P59" s="16"/>
      <c r="Q59" s="16"/>
      <c r="R59" s="17"/>
      <c r="S59" s="17"/>
      <c r="T59" s="4"/>
      <c r="U59" s="4"/>
      <c r="V59" s="4"/>
      <c r="W59" s="4"/>
      <c r="X59" s="4"/>
      <c r="Y59" s="4"/>
      <c r="Z59" s="4"/>
      <c r="AA59" s="4"/>
      <c r="AB59" s="4"/>
    </row>
    <row r="60" spans="1:28" ht="14.4">
      <c r="A60" s="13" t="s">
        <v>264</v>
      </c>
      <c r="B60" s="4"/>
      <c r="C60" s="4"/>
      <c r="D60" s="4"/>
      <c r="E60" s="16" t="s">
        <v>265</v>
      </c>
      <c r="F60" s="4"/>
      <c r="G60" s="4"/>
      <c r="H60" s="4"/>
      <c r="I60" s="4"/>
      <c r="J60" s="4"/>
      <c r="K60" s="4"/>
      <c r="L60" s="4"/>
      <c r="M60" s="4"/>
      <c r="N60" s="4"/>
      <c r="O60" s="4"/>
      <c r="P60" s="4"/>
      <c r="Q60" s="4"/>
      <c r="R60" s="4"/>
      <c r="S60" s="17"/>
      <c r="T60" s="4" t="s">
        <v>35</v>
      </c>
      <c r="U60" s="4"/>
      <c r="V60" s="4"/>
      <c r="W60" s="4"/>
      <c r="X60" s="4"/>
      <c r="Y60" s="4"/>
      <c r="Z60" s="4"/>
      <c r="AA60" s="4"/>
      <c r="AB60" s="4"/>
    </row>
    <row r="61" spans="1:28" ht="14.4">
      <c r="A61" s="13" t="s">
        <v>327</v>
      </c>
      <c r="B61" s="4"/>
      <c r="C61" s="4"/>
      <c r="D61" s="4"/>
      <c r="E61" s="16" t="s">
        <v>263</v>
      </c>
      <c r="F61" s="4"/>
      <c r="G61" s="4"/>
      <c r="H61" s="4"/>
      <c r="I61" s="4"/>
      <c r="J61" s="4"/>
      <c r="K61" s="4"/>
      <c r="L61" s="4"/>
      <c r="M61" s="4"/>
      <c r="N61" s="4"/>
      <c r="O61" s="4"/>
      <c r="P61" s="4"/>
      <c r="Q61" s="4"/>
      <c r="R61" s="4"/>
      <c r="S61" s="17"/>
      <c r="T61" s="4"/>
      <c r="U61" s="4"/>
      <c r="V61" s="4"/>
      <c r="W61" s="4"/>
      <c r="X61" s="4"/>
      <c r="Y61" s="4"/>
      <c r="Z61" s="4"/>
      <c r="AA61" s="4"/>
      <c r="AB61" s="4"/>
    </row>
    <row r="62" spans="1:28" ht="14.4">
      <c r="A62" s="13"/>
      <c r="B62" s="4"/>
      <c r="C62" s="4"/>
      <c r="D62" s="4"/>
      <c r="E62" s="16"/>
      <c r="F62" s="4"/>
      <c r="G62" s="4"/>
      <c r="H62" s="4"/>
      <c r="I62" s="4"/>
      <c r="J62" s="4"/>
      <c r="K62" s="4"/>
      <c r="L62" s="4"/>
      <c r="M62" s="4"/>
      <c r="N62" s="4"/>
      <c r="O62" s="4"/>
      <c r="P62" s="4"/>
      <c r="Q62" s="4"/>
      <c r="R62" s="4"/>
      <c r="S62" s="17"/>
      <c r="T62" s="4"/>
      <c r="U62" s="4"/>
      <c r="V62" s="4"/>
      <c r="W62" s="4"/>
      <c r="X62" s="4"/>
      <c r="Y62" s="4"/>
      <c r="Z62" s="4"/>
      <c r="AA62" s="4"/>
      <c r="AB62" s="4"/>
    </row>
    <row r="63" spans="1:28" ht="14.4">
      <c r="A63" s="13" t="s">
        <v>156</v>
      </c>
      <c r="B63" s="4"/>
      <c r="C63" s="4"/>
      <c r="D63" s="4"/>
      <c r="E63" s="16" t="s">
        <v>266</v>
      </c>
      <c r="F63" s="4"/>
      <c r="G63" s="4"/>
      <c r="H63" s="4"/>
      <c r="I63" s="4"/>
      <c r="J63" s="4"/>
      <c r="K63" s="4"/>
      <c r="L63" s="4"/>
      <c r="M63" s="4"/>
      <c r="N63" s="4"/>
      <c r="O63" s="4"/>
      <c r="P63" s="4"/>
      <c r="Q63" s="4"/>
      <c r="R63" s="4"/>
      <c r="S63" s="17"/>
      <c r="T63" s="4"/>
      <c r="U63" s="4"/>
      <c r="V63" s="4"/>
      <c r="W63" s="4"/>
      <c r="X63" s="4"/>
      <c r="Y63" s="4"/>
      <c r="Z63" s="4"/>
      <c r="AA63" s="4"/>
      <c r="AB63" s="4"/>
    </row>
    <row r="64" spans="1:28" ht="14.4">
      <c r="A64" s="16"/>
      <c r="B64" s="16"/>
      <c r="C64" s="16"/>
      <c r="D64" s="16"/>
      <c r="E64" s="16"/>
      <c r="F64" s="16"/>
      <c r="G64" s="16"/>
      <c r="H64" s="16"/>
      <c r="I64" s="16"/>
      <c r="J64" s="16"/>
      <c r="K64" s="16"/>
      <c r="L64" s="16"/>
      <c r="M64" s="16"/>
      <c r="N64" s="16"/>
      <c r="O64" s="16"/>
      <c r="P64" s="16"/>
      <c r="Q64" s="16"/>
      <c r="R64" s="17"/>
      <c r="S64" s="17"/>
      <c r="T64" s="4"/>
      <c r="U64" s="4"/>
      <c r="V64" s="4"/>
      <c r="W64" s="4"/>
      <c r="X64" s="4"/>
      <c r="Y64" s="4"/>
      <c r="Z64" s="4"/>
      <c r="AA64" s="4"/>
      <c r="AB64" s="4"/>
    </row>
    <row r="65" spans="1:28" ht="14.4">
      <c r="A65" s="13" t="s">
        <v>99</v>
      </c>
      <c r="B65" s="16"/>
      <c r="C65" s="16"/>
      <c r="D65" s="16"/>
      <c r="E65" s="16" t="s">
        <v>267</v>
      </c>
      <c r="F65" s="16"/>
      <c r="G65" s="16"/>
      <c r="H65" s="16"/>
      <c r="I65" s="16"/>
      <c r="J65" s="16"/>
      <c r="K65" s="16"/>
      <c r="L65" s="16"/>
      <c r="M65" s="16"/>
      <c r="N65" s="16"/>
      <c r="O65" s="16"/>
      <c r="P65" s="16"/>
      <c r="Q65" s="16"/>
      <c r="R65" s="17"/>
      <c r="S65" s="17"/>
      <c r="T65" s="4"/>
      <c r="U65" s="4"/>
      <c r="V65" s="4"/>
      <c r="W65" s="4"/>
      <c r="X65" s="4"/>
      <c r="Y65" s="4"/>
      <c r="Z65" s="4"/>
      <c r="AA65" s="4"/>
      <c r="AB65" s="4"/>
    </row>
    <row r="66" spans="1:28" ht="14.4">
      <c r="A66" s="13"/>
      <c r="B66" s="16"/>
      <c r="C66" s="16"/>
      <c r="D66" s="16"/>
      <c r="E66" s="16"/>
      <c r="F66" s="16"/>
      <c r="G66" s="16"/>
      <c r="H66" s="16"/>
      <c r="I66" s="16"/>
      <c r="J66" s="16"/>
      <c r="K66" s="16"/>
      <c r="L66" s="16"/>
      <c r="M66" s="16"/>
      <c r="N66" s="16"/>
      <c r="O66" s="16"/>
      <c r="P66" s="16"/>
      <c r="Q66" s="16"/>
      <c r="R66" s="17"/>
      <c r="S66" s="17"/>
      <c r="T66" s="4"/>
      <c r="U66" s="4"/>
      <c r="V66" s="4"/>
      <c r="W66" s="4"/>
      <c r="X66" s="4"/>
      <c r="Y66" s="4"/>
      <c r="Z66" s="4"/>
      <c r="AA66" s="4"/>
      <c r="AB66" s="4"/>
    </row>
    <row r="67" spans="1:28" ht="14.4">
      <c r="A67" s="13" t="s">
        <v>311</v>
      </c>
      <c r="B67" s="16"/>
      <c r="C67" s="16"/>
      <c r="D67" s="16"/>
      <c r="E67" s="16" t="s">
        <v>312</v>
      </c>
      <c r="F67" s="16"/>
      <c r="G67" s="16"/>
      <c r="H67" s="16"/>
      <c r="I67" s="16"/>
      <c r="J67" s="16"/>
      <c r="K67" s="16"/>
      <c r="L67" s="16"/>
      <c r="M67" s="16"/>
      <c r="N67" s="16"/>
      <c r="O67" s="16"/>
      <c r="P67" s="16"/>
      <c r="Q67" s="16"/>
      <c r="R67" s="17"/>
      <c r="S67" s="17"/>
      <c r="T67" s="4"/>
      <c r="U67" s="4"/>
      <c r="V67" s="4"/>
      <c r="W67" s="4"/>
      <c r="X67" s="4"/>
      <c r="Y67" s="4"/>
      <c r="Z67" s="4"/>
      <c r="AA67" s="4"/>
      <c r="AB67" s="4"/>
    </row>
    <row r="68" spans="1:28" ht="14.4">
      <c r="A68" s="13"/>
      <c r="B68" s="16"/>
      <c r="C68" s="16"/>
      <c r="D68" s="16"/>
      <c r="E68" s="16" t="s">
        <v>319</v>
      </c>
      <c r="F68" s="16"/>
      <c r="G68" s="16"/>
      <c r="H68" s="16"/>
      <c r="I68" s="16"/>
      <c r="J68" s="16"/>
      <c r="K68" s="16"/>
      <c r="L68" s="16"/>
      <c r="M68" s="16"/>
      <c r="N68" s="16"/>
      <c r="O68" s="16"/>
      <c r="P68" s="16"/>
      <c r="Q68" s="16"/>
      <c r="R68" s="17"/>
      <c r="S68" s="17"/>
      <c r="T68" s="4"/>
      <c r="U68" s="4"/>
      <c r="V68" s="4"/>
      <c r="W68" s="4"/>
      <c r="X68" s="4"/>
      <c r="Y68" s="4"/>
      <c r="Z68" s="4"/>
      <c r="AA68" s="4"/>
      <c r="AB68" s="4"/>
    </row>
    <row r="69" spans="1:28" ht="14.4">
      <c r="A69" s="13" t="s">
        <v>97</v>
      </c>
      <c r="B69" s="16"/>
      <c r="C69" s="16"/>
      <c r="D69" s="16"/>
      <c r="E69" s="16" t="s">
        <v>320</v>
      </c>
      <c r="F69" s="16"/>
      <c r="G69" s="16"/>
      <c r="H69" s="16"/>
      <c r="I69" s="16"/>
      <c r="J69" s="16"/>
      <c r="K69" s="16"/>
      <c r="L69" s="16"/>
      <c r="M69" s="16"/>
      <c r="N69" s="16"/>
      <c r="O69" s="16"/>
      <c r="P69" s="16"/>
      <c r="Q69" s="16"/>
      <c r="R69" s="17"/>
      <c r="S69" s="17"/>
      <c r="T69" s="4"/>
      <c r="U69" s="4"/>
      <c r="V69" s="4"/>
      <c r="W69" s="4"/>
      <c r="X69" s="4"/>
      <c r="Y69" s="4"/>
      <c r="Z69" s="4"/>
      <c r="AA69" s="4"/>
      <c r="AB69" s="4"/>
    </row>
    <row r="70" spans="1:28" ht="14.4">
      <c r="A70" s="13"/>
      <c r="B70" s="16"/>
      <c r="C70" s="16"/>
      <c r="D70" s="16"/>
      <c r="E70" s="16"/>
      <c r="F70" s="16"/>
      <c r="G70" s="16"/>
      <c r="H70" s="16"/>
      <c r="I70" s="16"/>
      <c r="J70" s="16"/>
      <c r="K70" s="16"/>
      <c r="L70" s="16"/>
      <c r="M70" s="16"/>
      <c r="N70" s="16"/>
      <c r="O70" s="16"/>
      <c r="P70" s="16"/>
      <c r="Q70" s="16"/>
      <c r="R70" s="17"/>
      <c r="S70" s="17"/>
      <c r="T70" s="4"/>
      <c r="U70" s="4"/>
      <c r="V70" s="4"/>
      <c r="W70" s="4"/>
      <c r="X70" s="4"/>
      <c r="Y70" s="4"/>
      <c r="Z70" s="4"/>
      <c r="AA70" s="4"/>
      <c r="AB70" s="4"/>
    </row>
    <row r="71" spans="1:28" ht="14.4">
      <c r="A71" s="19" t="s">
        <v>268</v>
      </c>
      <c r="B71" s="17"/>
      <c r="C71" s="17"/>
      <c r="D71" s="17"/>
      <c r="E71" s="17"/>
      <c r="F71" s="17"/>
      <c r="G71" s="17"/>
      <c r="H71" s="17"/>
      <c r="I71" s="17"/>
      <c r="J71" s="17"/>
      <c r="K71" s="17"/>
      <c r="L71" s="17"/>
      <c r="M71" s="17"/>
      <c r="N71" s="17"/>
      <c r="O71" s="17"/>
      <c r="P71" s="17"/>
      <c r="Q71" s="17"/>
      <c r="R71" s="17"/>
      <c r="S71" s="17"/>
      <c r="T71" s="4"/>
      <c r="U71" s="4"/>
      <c r="V71" s="4"/>
      <c r="W71" s="4"/>
      <c r="X71" s="4"/>
      <c r="Y71" s="4"/>
      <c r="Z71" s="4"/>
      <c r="AA71" s="4"/>
      <c r="AB71" s="4"/>
    </row>
    <row r="72" spans="1:28" ht="14.4">
      <c r="A72" s="13" t="s">
        <v>269</v>
      </c>
      <c r="B72" s="17"/>
      <c r="C72" s="17"/>
      <c r="D72" s="17"/>
      <c r="E72" s="16" t="s">
        <v>314</v>
      </c>
      <c r="F72" s="17"/>
      <c r="G72" s="17"/>
      <c r="H72" s="17"/>
      <c r="I72" s="17"/>
      <c r="J72" s="17"/>
      <c r="K72" s="17"/>
      <c r="L72" s="17"/>
      <c r="M72" s="17"/>
      <c r="N72" s="17"/>
      <c r="O72" s="17"/>
      <c r="P72" s="17"/>
      <c r="Q72" s="17"/>
      <c r="R72" s="17"/>
      <c r="S72" s="17"/>
      <c r="T72" s="4"/>
      <c r="U72" s="4"/>
      <c r="V72" s="4"/>
      <c r="W72" s="4"/>
      <c r="X72" s="4"/>
      <c r="Y72" s="4"/>
      <c r="Z72" s="4"/>
      <c r="AA72" s="4"/>
      <c r="AB72" s="4"/>
    </row>
    <row r="73" spans="1:28" ht="14.4">
      <c r="A73" s="13"/>
      <c r="B73" s="17"/>
      <c r="C73" s="17"/>
      <c r="D73" s="17"/>
      <c r="E73" s="16" t="s">
        <v>420</v>
      </c>
      <c r="F73" s="17"/>
      <c r="G73" s="17"/>
      <c r="H73" s="17"/>
      <c r="I73" s="17"/>
      <c r="J73" s="17"/>
      <c r="K73" s="17"/>
      <c r="L73" s="17"/>
      <c r="M73" s="17"/>
      <c r="N73" s="17"/>
      <c r="O73" s="17"/>
      <c r="P73" s="17"/>
      <c r="Q73" s="17"/>
      <c r="R73" s="17"/>
      <c r="S73" s="17"/>
      <c r="T73" s="4"/>
      <c r="U73" s="4"/>
      <c r="V73" s="4"/>
      <c r="W73" s="4"/>
      <c r="X73" s="4"/>
      <c r="Y73" s="4"/>
      <c r="Z73" s="4"/>
      <c r="AA73" s="4"/>
      <c r="AB73" s="4"/>
    </row>
    <row r="74" spans="1:28" ht="14.4">
      <c r="A74" s="13"/>
      <c r="B74" s="17"/>
      <c r="C74" s="17"/>
      <c r="D74" s="17"/>
      <c r="E74" s="16" t="s">
        <v>313</v>
      </c>
      <c r="F74" s="17"/>
      <c r="G74" s="17"/>
      <c r="H74" s="17"/>
      <c r="I74" s="17"/>
      <c r="J74" s="17"/>
      <c r="K74" s="17"/>
      <c r="L74" s="17"/>
      <c r="M74" s="17"/>
      <c r="N74" s="17"/>
      <c r="O74" s="17"/>
      <c r="P74" s="17"/>
      <c r="Q74" s="17"/>
      <c r="R74" s="17"/>
      <c r="S74" s="17"/>
      <c r="T74" s="4"/>
      <c r="U74" s="4"/>
      <c r="V74" s="4"/>
      <c r="W74" s="4"/>
      <c r="X74" s="4"/>
      <c r="Y74" s="4"/>
      <c r="Z74" s="4"/>
      <c r="AA74" s="4"/>
      <c r="AB74" s="4"/>
    </row>
    <row r="75" spans="1:28" ht="14.4">
      <c r="A75" s="13" t="s">
        <v>270</v>
      </c>
      <c r="B75" s="17"/>
      <c r="C75" s="17"/>
      <c r="D75" s="17"/>
      <c r="E75" s="16" t="s">
        <v>578</v>
      </c>
      <c r="F75" s="17"/>
      <c r="G75" s="17"/>
      <c r="H75" s="17"/>
      <c r="I75" s="17"/>
      <c r="J75" s="17"/>
      <c r="K75" s="17"/>
      <c r="L75" s="17"/>
      <c r="M75" s="17"/>
      <c r="N75" s="17"/>
      <c r="O75" s="17"/>
      <c r="P75" s="17"/>
      <c r="Q75" s="17"/>
      <c r="R75" s="17"/>
      <c r="S75" s="17"/>
      <c r="T75" s="4"/>
      <c r="U75" s="4"/>
      <c r="V75" s="4"/>
      <c r="W75" s="4"/>
      <c r="X75" s="4"/>
      <c r="Y75" s="4"/>
      <c r="Z75" s="4"/>
      <c r="AA75" s="4"/>
      <c r="AB75" s="4"/>
    </row>
    <row r="76" spans="1:28" ht="14.4">
      <c r="A76" s="13"/>
      <c r="B76" s="17"/>
      <c r="C76" s="17"/>
      <c r="D76" s="17"/>
      <c r="E76" s="16"/>
      <c r="F76" s="17"/>
      <c r="G76" s="17"/>
      <c r="H76" s="17"/>
      <c r="I76" s="17"/>
      <c r="J76" s="17"/>
      <c r="K76" s="17"/>
      <c r="L76" s="17"/>
      <c r="M76" s="17"/>
      <c r="N76" s="17"/>
      <c r="O76" s="17"/>
      <c r="P76" s="17"/>
      <c r="Q76" s="17"/>
      <c r="R76" s="17"/>
      <c r="S76" s="17"/>
      <c r="T76" s="4"/>
      <c r="U76" s="4"/>
      <c r="V76" s="4"/>
      <c r="W76" s="4"/>
      <c r="X76" s="4"/>
      <c r="Y76" s="4"/>
      <c r="Z76" s="4"/>
      <c r="AA76" s="4"/>
      <c r="AB76" s="4"/>
    </row>
    <row r="77" spans="1:28" ht="14.4">
      <c r="A77" s="13" t="s">
        <v>388</v>
      </c>
      <c r="B77" s="17"/>
      <c r="C77" s="17"/>
      <c r="D77" s="17"/>
      <c r="E77" s="16" t="s">
        <v>423</v>
      </c>
      <c r="F77" s="17"/>
      <c r="G77" s="17"/>
      <c r="H77" s="17"/>
      <c r="I77" s="17"/>
      <c r="J77" s="17"/>
      <c r="K77" s="17"/>
      <c r="L77" s="17"/>
      <c r="M77" s="17"/>
      <c r="N77" s="17"/>
      <c r="O77" s="17"/>
      <c r="P77" s="17"/>
      <c r="Q77" s="17"/>
      <c r="R77" s="17"/>
      <c r="S77" s="17"/>
      <c r="T77" s="4"/>
      <c r="U77" s="4"/>
      <c r="V77" s="4"/>
      <c r="W77" s="4"/>
      <c r="X77" s="4"/>
      <c r="Y77" s="4"/>
      <c r="Z77" s="4"/>
      <c r="AA77" s="4"/>
      <c r="AB77" s="4"/>
    </row>
    <row r="78" spans="1:28" ht="14.4">
      <c r="A78" s="13"/>
      <c r="B78" s="17"/>
      <c r="C78" s="17"/>
      <c r="D78" s="17"/>
      <c r="E78" s="16"/>
      <c r="F78" s="17"/>
      <c r="G78" s="17"/>
      <c r="H78" s="17"/>
      <c r="I78" s="17"/>
      <c r="J78" s="17"/>
      <c r="K78" s="17"/>
      <c r="L78" s="17"/>
      <c r="M78" s="17"/>
      <c r="N78" s="17"/>
      <c r="O78" s="17"/>
      <c r="P78" s="17"/>
      <c r="Q78" s="17"/>
      <c r="R78" s="17"/>
      <c r="S78" s="17"/>
      <c r="T78" s="4"/>
      <c r="U78" s="4"/>
      <c r="V78" s="4"/>
      <c r="W78" s="4"/>
      <c r="X78" s="4"/>
      <c r="Y78" s="4"/>
      <c r="Z78" s="4"/>
      <c r="AA78" s="4"/>
      <c r="AB78" s="4"/>
    </row>
    <row r="79" spans="1:28" ht="14.4">
      <c r="A79" s="13" t="s">
        <v>271</v>
      </c>
      <c r="B79" s="17"/>
      <c r="C79" s="17"/>
      <c r="D79" s="17"/>
      <c r="E79" s="16" t="s">
        <v>272</v>
      </c>
      <c r="F79" s="17"/>
      <c r="G79" s="17"/>
      <c r="H79" s="17"/>
      <c r="I79" s="17"/>
      <c r="J79" s="17"/>
      <c r="K79" s="17"/>
      <c r="L79" s="17"/>
      <c r="M79" s="17"/>
      <c r="N79" s="17"/>
      <c r="O79" s="17"/>
      <c r="P79" s="17"/>
      <c r="Q79" s="17"/>
      <c r="R79" s="17"/>
      <c r="S79" s="17"/>
      <c r="T79" s="4"/>
      <c r="U79" s="4"/>
      <c r="V79" s="4"/>
      <c r="W79" s="4"/>
      <c r="X79" s="4"/>
      <c r="Y79" s="4"/>
      <c r="Z79" s="4"/>
      <c r="AA79" s="4"/>
      <c r="AB79" s="4"/>
    </row>
    <row r="80" spans="1:28" ht="14.4">
      <c r="A80" s="13"/>
      <c r="B80" s="17"/>
      <c r="C80" s="17"/>
      <c r="D80" s="17"/>
      <c r="E80" s="16"/>
      <c r="F80" s="17"/>
      <c r="G80" s="17"/>
      <c r="H80" s="17"/>
      <c r="I80" s="17"/>
      <c r="J80" s="17"/>
      <c r="K80" s="17"/>
      <c r="L80" s="17"/>
      <c r="M80" s="17"/>
      <c r="N80" s="17"/>
      <c r="O80" s="17"/>
      <c r="P80" s="17"/>
      <c r="Q80" s="17"/>
      <c r="R80" s="17"/>
      <c r="S80" s="17"/>
      <c r="T80" s="4"/>
      <c r="U80" s="4"/>
      <c r="V80" s="4"/>
      <c r="W80" s="4"/>
      <c r="X80" s="4"/>
      <c r="Y80" s="4"/>
      <c r="Z80" s="4"/>
      <c r="AA80" s="4"/>
      <c r="AB80" s="4"/>
    </row>
    <row r="81" spans="1:28" ht="14.4">
      <c r="A81" s="13" t="s">
        <v>273</v>
      </c>
      <c r="B81" s="17"/>
      <c r="C81" s="17"/>
      <c r="D81" s="17"/>
      <c r="E81" s="16" t="s">
        <v>274</v>
      </c>
      <c r="F81" s="17"/>
      <c r="G81" s="17"/>
      <c r="H81" s="17"/>
      <c r="I81" s="17"/>
      <c r="J81" s="17"/>
      <c r="K81" s="17"/>
      <c r="L81" s="17"/>
      <c r="M81" s="17"/>
      <c r="N81" s="17"/>
      <c r="O81" s="17"/>
      <c r="P81" s="17"/>
      <c r="Q81" s="17"/>
      <c r="R81" s="17"/>
      <c r="S81" s="17"/>
      <c r="T81" s="4"/>
      <c r="U81" s="4"/>
      <c r="V81" s="4"/>
      <c r="W81" s="4"/>
      <c r="X81" s="4"/>
      <c r="Y81" s="4"/>
      <c r="Z81" s="4"/>
      <c r="AA81" s="4"/>
      <c r="AB81" s="4"/>
    </row>
    <row r="82" spans="1:28" ht="14.4">
      <c r="A82" s="13"/>
      <c r="B82" s="17"/>
      <c r="C82" s="17"/>
      <c r="D82" s="17"/>
      <c r="E82" s="4"/>
      <c r="F82" s="4"/>
      <c r="G82" s="4"/>
      <c r="H82" s="4"/>
      <c r="I82" s="17"/>
      <c r="J82" s="17"/>
      <c r="K82" s="17"/>
      <c r="L82" s="17"/>
      <c r="M82" s="17"/>
      <c r="N82" s="17"/>
      <c r="O82" s="17"/>
      <c r="P82" s="17"/>
      <c r="Q82" s="17"/>
      <c r="R82" s="17"/>
      <c r="S82" s="17"/>
      <c r="T82" s="4"/>
      <c r="U82" s="4"/>
      <c r="V82" s="4"/>
      <c r="W82" s="4"/>
      <c r="X82" s="4"/>
      <c r="Y82" s="4"/>
      <c r="Z82" s="4"/>
      <c r="AA82" s="4"/>
      <c r="AB82" s="4"/>
    </row>
    <row r="83" spans="1:28" ht="14.4">
      <c r="A83" s="13" t="s">
        <v>275</v>
      </c>
      <c r="B83" s="17"/>
      <c r="C83" s="17"/>
      <c r="D83" s="17"/>
      <c r="E83" s="4" t="s">
        <v>276</v>
      </c>
      <c r="F83" s="4"/>
      <c r="G83" s="4"/>
      <c r="H83" s="4"/>
      <c r="I83" s="17"/>
      <c r="J83" s="17"/>
      <c r="K83" s="17"/>
      <c r="L83" s="17"/>
      <c r="M83" s="17"/>
      <c r="N83" s="17"/>
      <c r="O83" s="17"/>
      <c r="P83" s="17"/>
      <c r="Q83" s="17"/>
      <c r="R83" s="17"/>
      <c r="S83" s="17"/>
      <c r="T83" s="4"/>
      <c r="U83" s="4"/>
      <c r="V83" s="4"/>
      <c r="W83" s="4"/>
      <c r="X83" s="4"/>
      <c r="Y83" s="4"/>
      <c r="Z83" s="4"/>
      <c r="AA83" s="4"/>
      <c r="AB83" s="4"/>
    </row>
    <row r="84" spans="1:28" ht="14.4">
      <c r="A84" s="13"/>
      <c r="B84" s="17"/>
      <c r="C84" s="17"/>
      <c r="D84" s="17"/>
      <c r="E84" s="20" t="s">
        <v>277</v>
      </c>
      <c r="F84" s="4"/>
      <c r="G84" s="4"/>
      <c r="H84" s="4"/>
      <c r="I84" s="17"/>
      <c r="J84" s="17"/>
      <c r="K84" s="17"/>
      <c r="L84" s="17"/>
      <c r="M84" s="17"/>
      <c r="N84" s="17"/>
      <c r="O84" s="17"/>
      <c r="P84" s="17"/>
      <c r="Q84" s="17"/>
      <c r="R84" s="17"/>
      <c r="S84" s="17"/>
      <c r="T84" s="4"/>
      <c r="U84" s="4"/>
      <c r="V84" s="4"/>
      <c r="W84" s="4"/>
      <c r="X84" s="4"/>
      <c r="Y84" s="4"/>
      <c r="Z84" s="4"/>
      <c r="AA84" s="4"/>
      <c r="AB84" s="4"/>
    </row>
    <row r="85" spans="1:28" ht="14.4">
      <c r="A85" s="13"/>
      <c r="B85" s="17"/>
      <c r="C85" s="17"/>
      <c r="D85" s="17"/>
      <c r="E85" s="4" t="s">
        <v>278</v>
      </c>
      <c r="F85" s="4"/>
      <c r="G85" s="4"/>
      <c r="H85" s="4"/>
      <c r="I85" s="17"/>
      <c r="J85" s="17"/>
      <c r="K85" s="17"/>
      <c r="L85" s="17"/>
      <c r="M85" s="17"/>
      <c r="N85" s="17"/>
      <c r="O85" s="17"/>
      <c r="P85" s="17"/>
      <c r="Q85" s="17"/>
      <c r="R85" s="17"/>
      <c r="S85" s="17"/>
      <c r="T85" s="4"/>
      <c r="U85" s="4"/>
      <c r="V85" s="4"/>
      <c r="W85" s="4"/>
      <c r="X85" s="4"/>
      <c r="Y85" s="4"/>
      <c r="Z85" s="4"/>
      <c r="AA85" s="4"/>
      <c r="AB85" s="4"/>
    </row>
    <row r="86" spans="1:28" ht="14.4">
      <c r="A86" s="13"/>
      <c r="B86" s="17"/>
      <c r="C86" s="17"/>
      <c r="D86" s="17"/>
      <c r="E86" s="4" t="s">
        <v>418</v>
      </c>
      <c r="F86" s="4"/>
      <c r="G86" s="4"/>
      <c r="H86" s="4"/>
      <c r="I86" s="17"/>
      <c r="J86" s="17"/>
      <c r="K86" s="17"/>
      <c r="L86" s="17"/>
      <c r="M86" s="17"/>
      <c r="N86" s="17"/>
      <c r="O86" s="17"/>
      <c r="P86" s="17"/>
      <c r="Q86" s="17"/>
      <c r="R86" s="17"/>
      <c r="S86" s="17"/>
      <c r="T86" s="4"/>
      <c r="U86" s="4"/>
      <c r="V86" s="4"/>
      <c r="W86" s="4"/>
      <c r="X86" s="4"/>
      <c r="Y86" s="4"/>
      <c r="Z86" s="4"/>
      <c r="AA86" s="4"/>
      <c r="AB86" s="4"/>
    </row>
    <row r="87" spans="1:28" ht="14.4">
      <c r="A87" s="13"/>
      <c r="B87" s="17"/>
      <c r="C87" s="17"/>
      <c r="D87" s="17"/>
      <c r="E87" s="4" t="s">
        <v>279</v>
      </c>
      <c r="F87" s="4"/>
      <c r="G87" s="4"/>
      <c r="H87" s="4"/>
      <c r="I87" s="17"/>
      <c r="J87" s="17"/>
      <c r="K87" s="17"/>
      <c r="L87" s="17"/>
      <c r="M87" s="17"/>
      <c r="N87" s="17"/>
      <c r="O87" s="17"/>
      <c r="P87" s="17"/>
      <c r="Q87" s="17"/>
      <c r="R87" s="17"/>
      <c r="S87" s="17"/>
      <c r="T87" s="4"/>
      <c r="U87" s="4"/>
      <c r="V87" s="4"/>
      <c r="W87" s="4"/>
      <c r="X87" s="4"/>
      <c r="Y87" s="4"/>
      <c r="Z87" s="4"/>
      <c r="AA87" s="4"/>
      <c r="AB87" s="4"/>
    </row>
    <row r="88" spans="1:28" ht="14.4">
      <c r="A88" s="13"/>
      <c r="B88" s="17"/>
      <c r="C88" s="17"/>
      <c r="D88" s="17"/>
      <c r="E88" s="20" t="s">
        <v>280</v>
      </c>
      <c r="F88" s="4"/>
      <c r="G88" s="4"/>
      <c r="H88" s="4"/>
      <c r="I88" s="17"/>
      <c r="J88" s="17"/>
      <c r="K88" s="17"/>
      <c r="L88" s="17"/>
      <c r="M88" s="17"/>
      <c r="N88" s="17"/>
      <c r="O88" s="17"/>
      <c r="P88" s="17"/>
      <c r="Q88" s="17"/>
      <c r="R88" s="17"/>
      <c r="S88" s="17"/>
      <c r="T88" s="4"/>
      <c r="U88" s="4"/>
      <c r="V88" s="4"/>
      <c r="W88" s="4"/>
      <c r="X88" s="4"/>
      <c r="Y88" s="4"/>
      <c r="Z88" s="4"/>
      <c r="AA88" s="4"/>
      <c r="AB88" s="4"/>
    </row>
    <row r="89" spans="1:28" ht="14.4">
      <c r="A89" s="13"/>
      <c r="B89" s="17"/>
      <c r="C89" s="17"/>
      <c r="D89" s="17"/>
      <c r="E89" s="4" t="s">
        <v>281</v>
      </c>
      <c r="F89" s="4"/>
      <c r="G89" s="4"/>
      <c r="H89" s="4"/>
      <c r="I89" s="17"/>
      <c r="J89" s="17"/>
      <c r="K89" s="17"/>
      <c r="L89" s="17"/>
      <c r="M89" s="17"/>
      <c r="N89" s="17"/>
      <c r="O89" s="17"/>
      <c r="P89" s="17"/>
      <c r="Q89" s="17"/>
      <c r="R89" s="17"/>
      <c r="S89" s="17"/>
      <c r="T89" s="4"/>
      <c r="U89" s="4"/>
      <c r="V89" s="4"/>
      <c r="W89" s="4"/>
      <c r="X89" s="4"/>
      <c r="Y89" s="4"/>
      <c r="Z89" s="4"/>
      <c r="AA89" s="4"/>
      <c r="AB89" s="4"/>
    </row>
    <row r="90" spans="1:28" ht="14.4">
      <c r="A90" s="13"/>
      <c r="B90" s="17"/>
      <c r="C90" s="17"/>
      <c r="D90" s="17"/>
      <c r="E90" s="4" t="s">
        <v>282</v>
      </c>
      <c r="F90" s="4"/>
      <c r="G90" s="4"/>
      <c r="H90" s="4"/>
      <c r="I90" s="17"/>
      <c r="J90" s="17"/>
      <c r="K90" s="17"/>
      <c r="L90" s="17"/>
      <c r="M90" s="17"/>
      <c r="N90" s="17"/>
      <c r="O90" s="17"/>
      <c r="P90" s="17"/>
      <c r="Q90" s="17"/>
      <c r="R90" s="17"/>
      <c r="S90" s="17"/>
      <c r="T90" s="4"/>
      <c r="U90" s="4"/>
      <c r="V90" s="4"/>
      <c r="W90" s="4"/>
      <c r="X90" s="4"/>
      <c r="Y90" s="4"/>
      <c r="Z90" s="4"/>
      <c r="AA90" s="4"/>
      <c r="AB90" s="4"/>
    </row>
    <row r="91" spans="1:28" ht="14.4">
      <c r="A91" s="13"/>
      <c r="B91" s="17"/>
      <c r="C91" s="17"/>
      <c r="D91" s="17"/>
      <c r="E91" s="4" t="s">
        <v>283</v>
      </c>
      <c r="F91" s="4"/>
      <c r="G91" s="4"/>
      <c r="H91" s="4"/>
      <c r="I91" s="17"/>
      <c r="J91" s="17"/>
      <c r="K91" s="17"/>
      <c r="L91" s="17"/>
      <c r="M91" s="17"/>
      <c r="N91" s="17"/>
      <c r="O91" s="17"/>
      <c r="P91" s="17"/>
      <c r="Q91" s="17"/>
      <c r="R91" s="17"/>
      <c r="S91" s="17"/>
      <c r="T91" s="4"/>
      <c r="U91" s="4"/>
      <c r="V91" s="4"/>
      <c r="W91" s="4"/>
      <c r="X91" s="4"/>
      <c r="Y91" s="4"/>
      <c r="Z91" s="4"/>
      <c r="AA91" s="4"/>
      <c r="AB91" s="4"/>
    </row>
    <row r="92" spans="1:28" ht="14.4">
      <c r="A92" s="13"/>
      <c r="B92" s="17"/>
      <c r="C92" s="17"/>
      <c r="D92" s="17"/>
      <c r="E92" s="4"/>
      <c r="F92" s="4"/>
      <c r="G92" s="4"/>
      <c r="H92" s="4"/>
      <c r="I92" s="17"/>
      <c r="J92" s="17"/>
      <c r="K92" s="17"/>
      <c r="L92" s="17"/>
      <c r="M92" s="17"/>
      <c r="N92" s="17"/>
      <c r="O92" s="17"/>
      <c r="P92" s="17"/>
      <c r="Q92" s="17"/>
      <c r="R92" s="17"/>
      <c r="S92" s="17"/>
      <c r="T92" s="4"/>
      <c r="U92" s="4"/>
      <c r="V92" s="4"/>
      <c r="W92" s="4"/>
      <c r="X92" s="4"/>
      <c r="Y92" s="4"/>
      <c r="Z92" s="4"/>
      <c r="AA92" s="4"/>
      <c r="AB92" s="4"/>
    </row>
    <row r="93" spans="1:28" ht="14.4">
      <c r="A93" s="13" t="s">
        <v>284</v>
      </c>
      <c r="B93" s="17"/>
      <c r="C93" s="17"/>
      <c r="D93" s="17"/>
      <c r="E93" s="4" t="s">
        <v>285</v>
      </c>
      <c r="F93" s="4"/>
      <c r="G93" s="4"/>
      <c r="H93" s="4"/>
      <c r="I93" s="17"/>
      <c r="J93" s="17"/>
      <c r="K93" s="17"/>
      <c r="L93" s="17"/>
      <c r="M93" s="17"/>
      <c r="N93" s="17"/>
      <c r="O93" s="17"/>
      <c r="P93" s="17"/>
      <c r="Q93" s="17"/>
      <c r="R93" s="17"/>
      <c r="S93" s="17"/>
      <c r="T93" s="4"/>
      <c r="U93" s="4"/>
      <c r="V93" s="4"/>
      <c r="W93" s="4"/>
      <c r="X93" s="4"/>
      <c r="Y93" s="4"/>
      <c r="Z93" s="4"/>
      <c r="AA93" s="4"/>
      <c r="AB93" s="4"/>
    </row>
    <row r="94" spans="1:28" ht="14.4">
      <c r="A94" s="13"/>
      <c r="B94" s="17"/>
      <c r="C94" s="17"/>
      <c r="D94" s="17"/>
      <c r="E94" s="20" t="s">
        <v>277</v>
      </c>
      <c r="F94" s="4"/>
      <c r="G94" s="4"/>
      <c r="H94" s="4"/>
      <c r="I94" s="17"/>
      <c r="J94" s="17"/>
      <c r="K94" s="17"/>
      <c r="L94" s="17"/>
      <c r="M94" s="17"/>
      <c r="N94" s="17"/>
      <c r="O94" s="17"/>
      <c r="P94" s="17"/>
      <c r="Q94" s="17"/>
      <c r="R94" s="17"/>
      <c r="S94" s="17"/>
      <c r="T94" s="4"/>
      <c r="U94" s="4"/>
      <c r="V94" s="4"/>
      <c r="W94" s="4"/>
      <c r="X94" s="4"/>
      <c r="Y94" s="4"/>
      <c r="Z94" s="4"/>
      <c r="AA94" s="4"/>
      <c r="AB94" s="4"/>
    </row>
    <row r="95" spans="1:28" ht="14.4">
      <c r="A95" s="13"/>
      <c r="B95" s="17"/>
      <c r="C95" s="17"/>
      <c r="D95" s="17"/>
      <c r="E95" s="4" t="s">
        <v>278</v>
      </c>
      <c r="F95" s="4"/>
      <c r="G95" s="4"/>
      <c r="H95" s="4"/>
      <c r="I95" s="17"/>
      <c r="J95" s="17"/>
      <c r="K95" s="17"/>
      <c r="L95" s="17"/>
      <c r="M95" s="17"/>
      <c r="N95" s="17"/>
      <c r="O95" s="17"/>
      <c r="P95" s="17"/>
      <c r="Q95" s="17"/>
      <c r="R95" s="17"/>
      <c r="S95" s="17"/>
      <c r="T95" s="4"/>
      <c r="U95" s="4"/>
      <c r="V95" s="4"/>
      <c r="W95" s="4"/>
      <c r="X95" s="4"/>
      <c r="Y95" s="4"/>
      <c r="Z95" s="4"/>
      <c r="AA95" s="4"/>
      <c r="AB95" s="4"/>
    </row>
    <row r="96" spans="1:28" ht="14.4">
      <c r="A96" s="13"/>
      <c r="B96" s="17"/>
      <c r="C96" s="17"/>
      <c r="D96" s="17"/>
      <c r="E96" s="4" t="s">
        <v>418</v>
      </c>
      <c r="F96" s="4"/>
      <c r="G96" s="4"/>
      <c r="H96" s="4"/>
      <c r="I96" s="17"/>
      <c r="J96" s="17"/>
      <c r="K96" s="17" t="s">
        <v>35</v>
      </c>
      <c r="L96" s="17"/>
      <c r="M96" s="17"/>
      <c r="N96" s="17"/>
      <c r="O96" s="17"/>
      <c r="P96" s="17"/>
      <c r="Q96" s="17"/>
      <c r="R96" s="17"/>
      <c r="S96" s="17"/>
      <c r="T96" s="4"/>
      <c r="U96" s="4"/>
      <c r="V96" s="4"/>
      <c r="W96" s="4"/>
      <c r="X96" s="4"/>
      <c r="Y96" s="4"/>
      <c r="Z96" s="4"/>
      <c r="AA96" s="4"/>
      <c r="AB96" s="4"/>
    </row>
    <row r="97" spans="1:28" ht="14.4">
      <c r="A97" s="13"/>
      <c r="B97" s="17"/>
      <c r="C97" s="17"/>
      <c r="D97" s="17"/>
      <c r="E97" s="4" t="s">
        <v>279</v>
      </c>
      <c r="F97" s="4"/>
      <c r="G97" s="4"/>
      <c r="H97" s="4"/>
      <c r="I97" s="17"/>
      <c r="J97" s="17"/>
      <c r="K97" s="17"/>
      <c r="L97" s="17"/>
      <c r="M97" s="17"/>
      <c r="N97" s="17"/>
      <c r="O97" s="17"/>
      <c r="P97" s="17"/>
      <c r="Q97" s="17"/>
      <c r="R97" s="17"/>
      <c r="S97" s="17"/>
      <c r="T97" s="4"/>
      <c r="U97" s="4"/>
      <c r="V97" s="4"/>
      <c r="W97" s="4"/>
      <c r="X97" s="4"/>
      <c r="Y97" s="4"/>
      <c r="Z97" s="4"/>
      <c r="AA97" s="4"/>
      <c r="AB97" s="4"/>
    </row>
    <row r="98" spans="1:28" ht="14.4">
      <c r="A98" s="13"/>
      <c r="B98" s="17"/>
      <c r="C98" s="17"/>
      <c r="D98" s="17"/>
      <c r="E98" s="20" t="s">
        <v>280</v>
      </c>
      <c r="F98" s="4"/>
      <c r="G98" s="4"/>
      <c r="H98" s="4"/>
      <c r="I98" s="17"/>
      <c r="J98" s="17"/>
      <c r="K98" s="17"/>
      <c r="L98" s="17"/>
      <c r="M98" s="17"/>
      <c r="N98" s="17"/>
      <c r="O98" s="17"/>
      <c r="P98" s="17"/>
      <c r="Q98" s="17"/>
      <c r="R98" s="17"/>
      <c r="S98" s="17"/>
      <c r="T98" s="4"/>
      <c r="U98" s="4"/>
      <c r="V98" s="4"/>
      <c r="W98" s="4"/>
      <c r="X98" s="4"/>
      <c r="Y98" s="4"/>
      <c r="Z98" s="4"/>
      <c r="AA98" s="4"/>
      <c r="AB98" s="4"/>
    </row>
    <row r="99" spans="1:28" ht="14.4">
      <c r="A99" s="13"/>
      <c r="B99" s="17"/>
      <c r="C99" s="17"/>
      <c r="D99" s="17"/>
      <c r="E99" s="4" t="s">
        <v>281</v>
      </c>
      <c r="F99" s="4"/>
      <c r="G99" s="4"/>
      <c r="H99" s="4"/>
      <c r="I99" s="17"/>
      <c r="J99" s="17"/>
      <c r="K99" s="17"/>
      <c r="L99" s="17"/>
      <c r="M99" s="17"/>
      <c r="N99" s="17"/>
      <c r="O99" s="17"/>
      <c r="P99" s="17"/>
      <c r="Q99" s="17"/>
      <c r="R99" s="17"/>
      <c r="S99" s="17"/>
      <c r="T99" s="4"/>
      <c r="U99" s="4"/>
      <c r="V99" s="4"/>
      <c r="W99" s="4"/>
      <c r="X99" s="4"/>
      <c r="Y99" s="4"/>
      <c r="Z99" s="4"/>
      <c r="AA99" s="4"/>
      <c r="AB99" s="4"/>
    </row>
    <row r="100" spans="1:28" ht="14.4">
      <c r="A100" s="13"/>
      <c r="B100" s="17"/>
      <c r="C100" s="17"/>
      <c r="D100" s="17"/>
      <c r="E100" s="4" t="s">
        <v>282</v>
      </c>
      <c r="F100" s="4"/>
      <c r="G100" s="4"/>
      <c r="H100" s="4"/>
      <c r="I100" s="17"/>
      <c r="J100" s="17"/>
      <c r="K100" s="17"/>
      <c r="L100" s="17"/>
      <c r="M100" s="17"/>
      <c r="N100" s="17"/>
      <c r="O100" s="17"/>
      <c r="P100" s="17"/>
      <c r="Q100" s="17"/>
      <c r="R100" s="17"/>
      <c r="S100" s="17"/>
      <c r="T100" s="4"/>
      <c r="U100" s="4"/>
      <c r="V100" s="4"/>
      <c r="W100" s="4"/>
      <c r="X100" s="4"/>
      <c r="Y100" s="4"/>
      <c r="Z100" s="4"/>
      <c r="AA100" s="4"/>
      <c r="AB100" s="4"/>
    </row>
    <row r="101" spans="1:28" ht="14.4">
      <c r="A101" s="13"/>
      <c r="B101" s="17"/>
      <c r="C101" s="17"/>
      <c r="D101" s="17"/>
      <c r="E101" s="4" t="s">
        <v>283</v>
      </c>
      <c r="F101" s="4"/>
      <c r="G101" s="4"/>
      <c r="H101" s="4"/>
      <c r="I101" s="17"/>
      <c r="J101" s="17"/>
      <c r="K101" s="17"/>
      <c r="L101" s="17"/>
      <c r="M101" s="17"/>
      <c r="N101" s="17"/>
      <c r="O101" s="17"/>
      <c r="P101" s="17"/>
      <c r="Q101" s="17"/>
      <c r="R101" s="17"/>
      <c r="S101" s="17"/>
      <c r="T101" s="4"/>
      <c r="U101" s="4"/>
      <c r="V101" s="4"/>
      <c r="W101" s="4"/>
      <c r="X101" s="4"/>
      <c r="Y101" s="4"/>
      <c r="Z101" s="4"/>
      <c r="AA101" s="4"/>
      <c r="AB101" s="4"/>
    </row>
    <row r="102" spans="1:28" ht="14.4">
      <c r="A102" s="13"/>
      <c r="B102" s="17"/>
      <c r="C102" s="17"/>
      <c r="D102" s="17"/>
      <c r="E102" s="4"/>
      <c r="F102" s="4"/>
      <c r="G102" s="4"/>
      <c r="H102" s="4"/>
      <c r="I102" s="17"/>
      <c r="J102" s="17"/>
      <c r="K102" s="17"/>
      <c r="L102" s="17"/>
      <c r="M102" s="17"/>
      <c r="N102" s="17"/>
      <c r="O102" s="17"/>
      <c r="P102" s="17"/>
      <c r="Q102" s="17"/>
      <c r="R102" s="17"/>
      <c r="S102" s="17"/>
      <c r="T102" s="4"/>
      <c r="U102" s="4"/>
      <c r="V102" s="4"/>
      <c r="W102" s="4"/>
      <c r="X102" s="4"/>
      <c r="Y102" s="4"/>
      <c r="Z102" s="4"/>
      <c r="AA102" s="4"/>
      <c r="AB102" s="4"/>
    </row>
    <row r="103" spans="1:28" ht="14.4">
      <c r="A103" s="13" t="s">
        <v>286</v>
      </c>
      <c r="B103" s="17"/>
      <c r="C103" s="17"/>
      <c r="D103" s="17"/>
      <c r="E103" s="4" t="s">
        <v>287</v>
      </c>
      <c r="F103" s="4"/>
      <c r="G103" s="4"/>
      <c r="H103" s="4"/>
      <c r="I103" s="17"/>
      <c r="J103" s="17"/>
      <c r="K103" s="17"/>
      <c r="L103" s="17"/>
      <c r="M103" s="17"/>
      <c r="N103" s="17"/>
      <c r="O103" s="17"/>
      <c r="P103" s="17"/>
      <c r="Q103" s="17"/>
      <c r="R103" s="17"/>
      <c r="S103" s="17"/>
      <c r="T103" s="4"/>
      <c r="U103" s="4"/>
      <c r="V103" s="4"/>
      <c r="W103" s="4"/>
      <c r="X103" s="4"/>
      <c r="Y103" s="4"/>
      <c r="Z103" s="4"/>
      <c r="AA103" s="4"/>
      <c r="AB103" s="4"/>
    </row>
    <row r="104" spans="1:28" ht="14.4">
      <c r="A104" s="13"/>
      <c r="B104" s="17"/>
      <c r="C104" s="17"/>
      <c r="D104" s="17"/>
      <c r="E104" s="20" t="s">
        <v>288</v>
      </c>
      <c r="F104" s="4"/>
      <c r="G104" s="4"/>
      <c r="H104" s="4"/>
      <c r="I104" s="17"/>
      <c r="J104" s="17"/>
      <c r="K104" s="17"/>
      <c r="L104" s="17"/>
      <c r="M104" s="17"/>
      <c r="N104" s="17"/>
      <c r="O104" s="17"/>
      <c r="P104" s="17"/>
      <c r="Q104" s="17"/>
      <c r="R104" s="17"/>
      <c r="S104" s="17"/>
      <c r="T104" s="4"/>
      <c r="U104" s="4"/>
      <c r="V104" s="4"/>
      <c r="W104" s="4"/>
      <c r="X104" s="4"/>
      <c r="Y104" s="4"/>
      <c r="Z104" s="4"/>
      <c r="AA104" s="4"/>
      <c r="AB104" s="4"/>
    </row>
    <row r="105" spans="1:28" ht="14.4">
      <c r="A105" s="13"/>
      <c r="B105" s="17"/>
      <c r="C105" s="17"/>
      <c r="D105" s="17"/>
      <c r="E105" s="4" t="s">
        <v>289</v>
      </c>
      <c r="F105" s="4"/>
      <c r="G105" s="4"/>
      <c r="H105" s="4"/>
      <c r="I105" s="17"/>
      <c r="J105" s="17"/>
      <c r="K105" s="17"/>
      <c r="L105" s="17"/>
      <c r="M105" s="17"/>
      <c r="N105" s="17"/>
      <c r="O105" s="17"/>
      <c r="P105" s="17"/>
      <c r="Q105" s="17"/>
      <c r="R105" s="17"/>
      <c r="S105" s="17"/>
      <c r="T105" s="4"/>
      <c r="U105" s="4"/>
      <c r="V105" s="4"/>
      <c r="W105" s="4"/>
      <c r="X105" s="4"/>
      <c r="Y105" s="4"/>
      <c r="Z105" s="4"/>
      <c r="AA105" s="4"/>
      <c r="AB105" s="4"/>
    </row>
    <row r="106" spans="1:28" ht="14.4">
      <c r="A106" s="13"/>
      <c r="B106" s="17"/>
      <c r="C106" s="17"/>
      <c r="D106" s="17"/>
      <c r="E106" s="4" t="s">
        <v>290</v>
      </c>
      <c r="F106" s="4"/>
      <c r="G106" s="4"/>
      <c r="H106" s="4"/>
      <c r="I106" s="17"/>
      <c r="J106" s="17"/>
      <c r="K106" s="17"/>
      <c r="L106" s="17"/>
      <c r="M106" s="17"/>
      <c r="N106" s="17"/>
      <c r="O106" s="17"/>
      <c r="P106" s="17"/>
      <c r="Q106" s="17"/>
      <c r="R106" s="17"/>
      <c r="S106" s="17"/>
      <c r="T106" s="4"/>
      <c r="U106" s="4"/>
      <c r="V106" s="4"/>
      <c r="W106" s="4"/>
      <c r="X106" s="4"/>
      <c r="Y106" s="4"/>
      <c r="Z106" s="4"/>
      <c r="AA106" s="4"/>
      <c r="AB106" s="4"/>
    </row>
    <row r="107" spans="1:28" ht="14.4">
      <c r="A107" s="13"/>
      <c r="B107" s="17"/>
      <c r="C107" s="17"/>
      <c r="D107" s="17"/>
      <c r="E107" s="4" t="s">
        <v>291</v>
      </c>
      <c r="F107" s="4"/>
      <c r="G107" s="4"/>
      <c r="H107" s="4"/>
      <c r="I107" s="17"/>
      <c r="J107" s="17"/>
      <c r="K107" s="17"/>
      <c r="L107" s="17"/>
      <c r="M107" s="17"/>
      <c r="N107" s="17"/>
      <c r="O107" s="17"/>
      <c r="P107" s="17"/>
      <c r="Q107" s="17"/>
      <c r="R107" s="17"/>
      <c r="S107" s="17"/>
      <c r="T107" s="4"/>
      <c r="U107" s="4"/>
      <c r="V107" s="4"/>
      <c r="W107" s="4"/>
      <c r="X107" s="4"/>
      <c r="Y107" s="4"/>
      <c r="Z107" s="4"/>
      <c r="AA107" s="4"/>
      <c r="AB107" s="4"/>
    </row>
    <row r="108" spans="1:28" ht="14.4">
      <c r="A108" s="13"/>
      <c r="B108" s="17"/>
      <c r="C108" s="17"/>
      <c r="D108" s="17"/>
      <c r="E108" s="4" t="s">
        <v>419</v>
      </c>
      <c r="F108" s="4"/>
      <c r="G108" s="4"/>
      <c r="H108" s="4"/>
      <c r="I108" s="17"/>
      <c r="J108" s="17"/>
      <c r="K108" s="17"/>
      <c r="L108" s="17"/>
      <c r="M108" s="17"/>
      <c r="N108" s="17"/>
      <c r="O108" s="17"/>
      <c r="P108" s="17"/>
      <c r="Q108" s="17"/>
      <c r="R108" s="17"/>
      <c r="S108" s="17"/>
      <c r="T108" s="4"/>
      <c r="U108" s="4"/>
      <c r="V108" s="4"/>
      <c r="W108" s="4"/>
      <c r="X108" s="4"/>
      <c r="Y108" s="4"/>
      <c r="Z108" s="4"/>
      <c r="AA108" s="4"/>
      <c r="AB108" s="4"/>
    </row>
    <row r="109" spans="1:28" ht="14.4">
      <c r="A109" s="13"/>
      <c r="B109" s="17"/>
      <c r="C109" s="17"/>
      <c r="D109" s="17"/>
      <c r="E109" s="4" t="s">
        <v>292</v>
      </c>
      <c r="F109" s="4"/>
      <c r="G109" s="4"/>
      <c r="H109" s="4"/>
      <c r="I109" s="17"/>
      <c r="J109" s="17"/>
      <c r="K109" s="17"/>
      <c r="L109" s="17"/>
      <c r="M109" s="17"/>
      <c r="N109" s="17"/>
      <c r="O109" s="17"/>
      <c r="P109" s="17"/>
      <c r="Q109" s="17"/>
      <c r="R109" s="17"/>
      <c r="S109" s="17"/>
      <c r="T109" s="4"/>
      <c r="U109" s="4"/>
      <c r="V109" s="4"/>
      <c r="W109" s="4"/>
      <c r="X109" s="4"/>
      <c r="Y109" s="4"/>
      <c r="Z109" s="4"/>
      <c r="AA109" s="4"/>
      <c r="AB109" s="4"/>
    </row>
    <row r="110" spans="1:28" ht="14.4">
      <c r="A110" s="13"/>
      <c r="B110" s="17"/>
      <c r="C110" s="17"/>
      <c r="D110" s="17"/>
      <c r="E110" s="4"/>
      <c r="F110" s="4"/>
      <c r="G110" s="4"/>
      <c r="H110" s="4"/>
      <c r="I110" s="17"/>
      <c r="J110" s="17"/>
      <c r="K110" s="17"/>
      <c r="L110" s="17"/>
      <c r="M110" s="17"/>
      <c r="N110" s="17"/>
      <c r="O110" s="17"/>
      <c r="P110" s="17"/>
      <c r="Q110" s="17"/>
      <c r="R110" s="17"/>
      <c r="S110" s="17"/>
      <c r="T110" s="4"/>
      <c r="U110" s="4"/>
      <c r="V110" s="4"/>
      <c r="W110" s="4"/>
      <c r="X110" s="4"/>
      <c r="Y110" s="4"/>
      <c r="Z110" s="4"/>
      <c r="AA110" s="4"/>
      <c r="AB110" s="4"/>
    </row>
    <row r="111" spans="1:28" ht="14.4">
      <c r="A111" s="13" t="s">
        <v>293</v>
      </c>
      <c r="B111" s="17"/>
      <c r="C111" s="17"/>
      <c r="D111" s="17"/>
      <c r="E111" s="4" t="s">
        <v>346</v>
      </c>
      <c r="F111" s="4"/>
      <c r="G111" s="4"/>
      <c r="H111" s="4"/>
      <c r="I111" s="17"/>
      <c r="J111" s="17"/>
      <c r="K111" s="17"/>
      <c r="L111" s="17"/>
      <c r="M111" s="17"/>
      <c r="N111" s="17"/>
      <c r="O111" s="17"/>
      <c r="P111" s="17"/>
      <c r="Q111" s="17"/>
      <c r="R111" s="17"/>
      <c r="S111" s="17"/>
      <c r="T111" s="4"/>
      <c r="U111" s="4"/>
      <c r="V111" s="4"/>
      <c r="W111" s="4"/>
      <c r="X111" s="4"/>
      <c r="Y111" s="4"/>
      <c r="Z111" s="4"/>
      <c r="AA111" s="4"/>
      <c r="AB111" s="4"/>
    </row>
    <row r="112" spans="1:28" ht="13.8">
      <c r="A112" s="4"/>
      <c r="B112" s="4"/>
      <c r="C112" s="4"/>
      <c r="D112" s="4"/>
      <c r="E112" s="4" t="s">
        <v>343</v>
      </c>
      <c r="F112" s="4"/>
      <c r="G112" s="4"/>
      <c r="H112" s="4"/>
      <c r="I112" s="17"/>
      <c r="J112" s="17"/>
      <c r="K112" s="17"/>
      <c r="L112" s="17"/>
      <c r="M112" s="17"/>
      <c r="N112" s="17"/>
      <c r="O112" s="17"/>
      <c r="P112" s="17"/>
      <c r="Q112" s="17"/>
      <c r="R112" s="17"/>
      <c r="S112" s="17"/>
      <c r="T112" s="4"/>
      <c r="U112" s="4"/>
      <c r="V112" s="4"/>
      <c r="W112" s="4"/>
      <c r="X112" s="4"/>
      <c r="Y112" s="4"/>
      <c r="Z112" s="4"/>
      <c r="AA112" s="4"/>
      <c r="AB112" s="4"/>
    </row>
    <row r="113" spans="1:28" ht="14.4">
      <c r="A113" s="13"/>
      <c r="B113" s="17"/>
      <c r="C113" s="17"/>
      <c r="D113" s="17"/>
      <c r="E113" s="4" t="s">
        <v>294</v>
      </c>
      <c r="F113" s="4"/>
      <c r="G113" s="4"/>
      <c r="H113" s="4"/>
      <c r="I113" s="17"/>
      <c r="J113" s="17"/>
      <c r="K113" s="17"/>
      <c r="L113" s="17"/>
      <c r="M113" s="17"/>
      <c r="N113" s="17"/>
      <c r="O113" s="17"/>
      <c r="P113" s="17"/>
      <c r="Q113" s="17"/>
      <c r="R113" s="17"/>
      <c r="S113" s="17"/>
      <c r="T113" s="4"/>
      <c r="U113" s="4"/>
      <c r="V113" s="4"/>
      <c r="W113" s="4"/>
      <c r="X113" s="4"/>
      <c r="Y113" s="4"/>
      <c r="Z113" s="4"/>
      <c r="AA113" s="4"/>
      <c r="AB113" s="4"/>
    </row>
    <row r="114" spans="1:28" ht="14.4">
      <c r="A114" s="13"/>
      <c r="B114" s="17"/>
      <c r="C114" s="17"/>
      <c r="D114" s="17"/>
      <c r="E114" s="4" t="s">
        <v>421</v>
      </c>
      <c r="F114" s="4"/>
      <c r="G114" s="4"/>
      <c r="H114" s="4"/>
      <c r="I114" s="17"/>
      <c r="J114" s="17"/>
      <c r="K114" s="17"/>
      <c r="L114" s="17"/>
      <c r="M114" s="17"/>
      <c r="N114" s="17"/>
      <c r="O114" s="17"/>
      <c r="P114" s="17"/>
      <c r="Q114" s="17"/>
      <c r="R114" s="17"/>
      <c r="S114" s="17"/>
      <c r="T114" s="4"/>
      <c r="U114" s="4"/>
      <c r="V114" s="4"/>
      <c r="W114" s="4"/>
      <c r="X114" s="4"/>
      <c r="Y114" s="4"/>
      <c r="Z114" s="4"/>
      <c r="AA114" s="4"/>
      <c r="AB114" s="4"/>
    </row>
    <row r="115" spans="1:28" ht="14.4">
      <c r="A115" s="13"/>
      <c r="B115" s="17"/>
      <c r="C115" s="17"/>
      <c r="D115" s="17"/>
      <c r="E115" s="4" t="s">
        <v>345</v>
      </c>
      <c r="F115" s="4"/>
      <c r="G115" s="4"/>
      <c r="H115" s="4"/>
      <c r="I115" s="17"/>
      <c r="J115" s="17"/>
      <c r="K115" s="17"/>
      <c r="L115" s="17"/>
      <c r="M115" s="17"/>
      <c r="N115" s="17"/>
      <c r="O115" s="17"/>
      <c r="P115" s="17"/>
      <c r="Q115" s="17"/>
      <c r="R115" s="17"/>
      <c r="S115" s="17"/>
      <c r="T115" s="4"/>
      <c r="U115" s="4"/>
      <c r="V115" s="4"/>
      <c r="W115" s="4"/>
      <c r="X115" s="4"/>
      <c r="Y115" s="4"/>
      <c r="Z115" s="4"/>
      <c r="AA115" s="4"/>
      <c r="AB115" s="4"/>
    </row>
    <row r="116" spans="1:28" ht="14.4">
      <c r="A116" s="13"/>
      <c r="B116" s="17"/>
      <c r="C116" s="17"/>
      <c r="D116" s="17"/>
      <c r="E116" s="4" t="s">
        <v>344</v>
      </c>
      <c r="F116" s="4"/>
      <c r="G116" s="4"/>
      <c r="H116" s="4"/>
      <c r="I116" s="17"/>
      <c r="J116" s="17"/>
      <c r="K116" s="17"/>
      <c r="L116" s="17"/>
      <c r="M116" s="17"/>
      <c r="N116" s="17"/>
      <c r="O116" s="17"/>
      <c r="P116" s="17"/>
      <c r="Q116" s="17"/>
      <c r="R116" s="17"/>
      <c r="S116" s="17"/>
      <c r="T116" s="4"/>
      <c r="U116" s="4"/>
      <c r="V116" s="4"/>
      <c r="W116" s="4"/>
      <c r="X116" s="4"/>
      <c r="Y116" s="4"/>
      <c r="Z116" s="4"/>
      <c r="AA116" s="4"/>
      <c r="AB116" s="4"/>
    </row>
    <row r="117" spans="1:28" ht="13.8">
      <c r="A117" s="4"/>
      <c r="B117" s="4"/>
      <c r="C117" s="4"/>
      <c r="D117" s="4"/>
      <c r="E117" s="4"/>
      <c r="F117" s="17"/>
      <c r="G117" s="17"/>
      <c r="H117" s="17"/>
      <c r="I117" s="17"/>
      <c r="J117" s="17"/>
      <c r="K117" s="17"/>
      <c r="L117" s="17"/>
      <c r="M117" s="17"/>
      <c r="N117" s="17"/>
      <c r="O117" s="17"/>
      <c r="P117" s="17"/>
      <c r="Q117" s="17"/>
      <c r="R117" s="17"/>
      <c r="S117" s="17"/>
      <c r="T117" s="4"/>
      <c r="U117" s="4"/>
      <c r="V117" s="4"/>
      <c r="W117" s="4"/>
      <c r="X117" s="4"/>
      <c r="Y117" s="4"/>
      <c r="Z117" s="4"/>
      <c r="AA117" s="4"/>
      <c r="AB117" s="4"/>
    </row>
    <row r="118" spans="1:28" ht="14.4">
      <c r="A118" s="13"/>
      <c r="B118" s="17"/>
      <c r="C118" s="17"/>
      <c r="D118" s="17"/>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1:28">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1:28" ht="14.4">
      <c r="A120" s="13"/>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sheetData>
  <sheetProtection algorithmName="SHA-512" hashValue="2TktHfQTiajuaFyIyb7CotT8N2DlY9KviHFrIpPg/tWXIL5NxaCd7HrKyCzEico27mIwJMfKeyHOislWMlgVjA==" saltValue="bgPrETPY2aEIW3qTW2DuIg==" spinCount="100000"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Income</vt:lpstr>
      <vt:lpstr>Affordability</vt:lpstr>
      <vt:lpstr>Help Notes</vt:lpstr>
      <vt:lpstr>Affordability!Print_Area</vt:lpstr>
      <vt:lpstr>'Help Notes'!Print_Area</vt:lpstr>
      <vt:lpstr>Income!Print_Area</vt:lpstr>
    </vt:vector>
  </TitlesOfParts>
  <Company>Skipton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lou00059</dc:creator>
  <cp:lastModifiedBy>Colin Pytel</cp:lastModifiedBy>
  <cp:lastPrinted>2023-12-13T13:33:10Z</cp:lastPrinted>
  <dcterms:created xsi:type="dcterms:W3CDTF">2008-04-01T11:18:00Z</dcterms:created>
  <dcterms:modified xsi:type="dcterms:W3CDTF">2024-04-16T08:52:30Z</dcterms:modified>
</cp:coreProperties>
</file>